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fedorenko\Desktop\МП БГС 17-22\17. МП БГС 17-24 в ред. сентября\Постановление о внесении изменений сентября\"/>
    </mc:Choice>
  </mc:AlternateContent>
  <xr:revisionPtr revIDLastSave="0" documentId="13_ncr:1_{BE1EE804-AF69-4F3E-958D-EB80A0ACF7E7}" xr6:coauthVersionLast="44" xr6:coauthVersionMax="44" xr10:uidLastSave="{00000000-0000-0000-0000-000000000000}"/>
  <bookViews>
    <workbookView xWindow="30" yWindow="630" windowWidth="19170" windowHeight="1473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Лист3!$A$5:$O$98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3" l="1"/>
  <c r="H22" i="3"/>
  <c r="H40" i="3"/>
  <c r="H39" i="3"/>
  <c r="H44" i="3"/>
  <c r="H46" i="3" l="1"/>
  <c r="I39" i="3" l="1"/>
  <c r="E45" i="3" l="1"/>
  <c r="M46" i="3"/>
  <c r="L46" i="3"/>
  <c r="K46" i="3"/>
  <c r="J46" i="3"/>
  <c r="I46" i="3"/>
  <c r="G46" i="3"/>
  <c r="F46" i="3"/>
  <c r="H20" i="3"/>
  <c r="H32" i="3"/>
  <c r="H51" i="3"/>
  <c r="E82" i="3" l="1"/>
  <c r="E77" i="3"/>
  <c r="E70" i="3"/>
  <c r="E63" i="3"/>
  <c r="E89" i="3" l="1"/>
  <c r="E88" i="3"/>
  <c r="E87" i="3"/>
  <c r="E84" i="3"/>
  <c r="M90" i="3" l="1"/>
  <c r="M91" i="3" s="1"/>
  <c r="L90" i="3"/>
  <c r="L91" i="3" s="1"/>
  <c r="M81" i="3" l="1"/>
  <c r="M82" i="3" s="1"/>
  <c r="L81" i="3"/>
  <c r="L82" i="3" s="1"/>
  <c r="E75" i="3"/>
  <c r="M76" i="3"/>
  <c r="M77" i="3" s="1"/>
  <c r="L76" i="3"/>
  <c r="L77" i="3" s="1"/>
  <c r="M69" i="3"/>
  <c r="M70" i="3" s="1"/>
  <c r="L69" i="3"/>
  <c r="L70" i="3" s="1"/>
  <c r="M62" i="3"/>
  <c r="M63" i="3" s="1"/>
  <c r="L62" i="3"/>
  <c r="L63" i="3" s="1"/>
  <c r="E53" i="3"/>
  <c r="M54" i="3"/>
  <c r="M55" i="3" s="1"/>
  <c r="L54" i="3"/>
  <c r="L55" i="3" s="1"/>
  <c r="M49" i="3"/>
  <c r="L49" i="3"/>
  <c r="E42" i="3"/>
  <c r="M33" i="3"/>
  <c r="L33" i="3"/>
  <c r="M34" i="3" l="1"/>
  <c r="M94" i="3"/>
  <c r="M95" i="3" s="1"/>
  <c r="L34" i="3"/>
  <c r="L94" i="3"/>
  <c r="L95" i="3" s="1"/>
  <c r="E32" i="3"/>
  <c r="H84" i="3" l="1"/>
  <c r="G41" i="3" l="1"/>
  <c r="G39" i="3"/>
  <c r="E60" i="3" l="1"/>
  <c r="I34" i="3" l="1"/>
  <c r="J34" i="3"/>
  <c r="K76" i="3" l="1"/>
  <c r="J76" i="3"/>
  <c r="I76" i="3"/>
  <c r="H76" i="3"/>
  <c r="H62" i="3" l="1"/>
  <c r="E61" i="3"/>
  <c r="F62" i="3"/>
  <c r="J62" i="3"/>
  <c r="I62" i="3"/>
  <c r="H34" i="3"/>
  <c r="F33" i="3"/>
  <c r="J33" i="3"/>
  <c r="I33" i="3"/>
  <c r="H33" i="3"/>
  <c r="G88" i="3"/>
  <c r="E51" i="3" l="1"/>
  <c r="H65" i="3"/>
  <c r="G37" i="3" l="1"/>
  <c r="E37" i="3" s="1"/>
  <c r="G57" i="3" l="1"/>
  <c r="G24" i="3"/>
  <c r="G22" i="3"/>
  <c r="G62" i="3" l="1"/>
  <c r="G21" i="3"/>
  <c r="E21" i="3" s="1"/>
  <c r="K79" i="3" l="1"/>
  <c r="E79" i="3" s="1"/>
  <c r="K59" i="3"/>
  <c r="E59" i="3" s="1"/>
  <c r="K57" i="3"/>
  <c r="E57" i="3" s="1"/>
  <c r="K22" i="3"/>
  <c r="E22" i="3" s="1"/>
  <c r="K67" i="3"/>
  <c r="K65" i="3"/>
  <c r="G65" i="3"/>
  <c r="E65" i="3" l="1"/>
  <c r="K34" i="3"/>
  <c r="K33" i="3"/>
  <c r="K62" i="3"/>
  <c r="G74" i="3" l="1"/>
  <c r="G38" i="3" l="1"/>
  <c r="E38" i="3" s="1"/>
  <c r="G80" i="3" l="1"/>
  <c r="E80" i="3" s="1"/>
  <c r="K39" i="3" l="1"/>
  <c r="J39" i="3"/>
  <c r="G67" i="3"/>
  <c r="E67" i="3" s="1"/>
  <c r="E39" i="3" l="1"/>
  <c r="F90" i="3"/>
  <c r="J90" i="3"/>
  <c r="I90" i="3"/>
  <c r="H90" i="3"/>
  <c r="K90" i="3"/>
  <c r="G90" i="3"/>
  <c r="G72" i="3" l="1"/>
  <c r="G76" i="3" s="1"/>
  <c r="G35" i="3" l="1"/>
  <c r="E31" i="3"/>
  <c r="E30" i="3"/>
  <c r="G93" i="3" l="1"/>
  <c r="H93" i="3"/>
  <c r="I93" i="3"/>
  <c r="J93" i="3"/>
  <c r="K93" i="3"/>
  <c r="F93" i="3"/>
  <c r="G92" i="3"/>
  <c r="H92" i="3"/>
  <c r="I92" i="3"/>
  <c r="I96" i="3" s="1"/>
  <c r="J92" i="3"/>
  <c r="K92" i="3"/>
  <c r="F92" i="3"/>
  <c r="F96" i="3" s="1"/>
  <c r="K96" i="3"/>
  <c r="J96" i="3"/>
  <c r="G96" i="3"/>
  <c r="E86" i="3"/>
  <c r="E85" i="3"/>
  <c r="I48" i="3"/>
  <c r="J48" i="3"/>
  <c r="K48" i="3"/>
  <c r="H48" i="3"/>
  <c r="K47" i="3"/>
  <c r="J47" i="3"/>
  <c r="I47" i="3"/>
  <c r="H47" i="3"/>
  <c r="G47" i="3"/>
  <c r="G97" i="3" s="1"/>
  <c r="F34" i="3"/>
  <c r="H35" i="3"/>
  <c r="I35" i="3"/>
  <c r="J35" i="3"/>
  <c r="K35" i="3"/>
  <c r="F35" i="3"/>
  <c r="E23" i="3"/>
  <c r="E29" i="3"/>
  <c r="E28" i="3"/>
  <c r="H96" i="3" l="1"/>
  <c r="H91" i="3"/>
  <c r="E47" i="3"/>
  <c r="G91" i="3"/>
  <c r="E93" i="3"/>
  <c r="E96" i="3"/>
  <c r="E92" i="3"/>
  <c r="H98" i="3"/>
  <c r="J98" i="3"/>
  <c r="F98" i="3"/>
  <c r="K98" i="3"/>
  <c r="I98" i="3"/>
  <c r="E35" i="3"/>
  <c r="K91" i="3"/>
  <c r="K54" i="3"/>
  <c r="K55" i="3" s="1"/>
  <c r="K49" i="3"/>
  <c r="E68" i="3"/>
  <c r="E66" i="3"/>
  <c r="E58" i="3"/>
  <c r="E52" i="3"/>
  <c r="E44" i="3"/>
  <c r="E41" i="3"/>
  <c r="E40" i="3"/>
  <c r="E20" i="3"/>
  <c r="J81" i="3"/>
  <c r="J82" i="3" s="1"/>
  <c r="J77" i="3"/>
  <c r="J69" i="3"/>
  <c r="J70" i="3" s="1"/>
  <c r="J63" i="3"/>
  <c r="J54" i="3"/>
  <c r="J55" i="3" s="1"/>
  <c r="J49" i="3"/>
  <c r="E46" i="3" l="1"/>
  <c r="E69" i="3"/>
  <c r="J94" i="3"/>
  <c r="J95" i="3" s="1"/>
  <c r="K63" i="3"/>
  <c r="K69" i="3"/>
  <c r="K70" i="3" s="1"/>
  <c r="K81" i="3"/>
  <c r="K82" i="3" s="1"/>
  <c r="J91" i="3"/>
  <c r="K77" i="3"/>
  <c r="G19" i="3"/>
  <c r="G33" i="3" s="1"/>
  <c r="G34" i="3" l="1"/>
  <c r="E34" i="3" s="1"/>
  <c r="E19" i="3"/>
  <c r="K94" i="3"/>
  <c r="K95" i="3" s="1"/>
  <c r="F97" i="3"/>
  <c r="E97" i="3"/>
  <c r="I91" i="3"/>
  <c r="F91" i="3"/>
  <c r="I81" i="3"/>
  <c r="I82" i="3" s="1"/>
  <c r="H81" i="3"/>
  <c r="H82" i="3" s="1"/>
  <c r="G81" i="3"/>
  <c r="G82" i="3" s="1"/>
  <c r="F81" i="3"/>
  <c r="F82" i="3" s="1"/>
  <c r="E81" i="3"/>
  <c r="I77" i="3"/>
  <c r="H77" i="3"/>
  <c r="F74" i="3"/>
  <c r="E74" i="3" s="1"/>
  <c r="F73" i="3"/>
  <c r="I69" i="3"/>
  <c r="I70" i="3" s="1"/>
  <c r="H69" i="3"/>
  <c r="H70" i="3" s="1"/>
  <c r="G69" i="3"/>
  <c r="G70" i="3" s="1"/>
  <c r="F69" i="3"/>
  <c r="F70" i="3" s="1"/>
  <c r="I63" i="3"/>
  <c r="H63" i="3"/>
  <c r="F63" i="3"/>
  <c r="I54" i="3"/>
  <c r="I55" i="3" s="1"/>
  <c r="H54" i="3"/>
  <c r="H55" i="3" s="1"/>
  <c r="E55" i="3" s="1"/>
  <c r="G54" i="3"/>
  <c r="G55" i="3" s="1"/>
  <c r="F54" i="3"/>
  <c r="F55" i="3" s="1"/>
  <c r="G48" i="3"/>
  <c r="E48" i="3" s="1"/>
  <c r="I49" i="3"/>
  <c r="H49" i="3"/>
  <c r="F49" i="3"/>
  <c r="G43" i="3"/>
  <c r="E43" i="3" s="1"/>
  <c r="E27" i="3"/>
  <c r="E26" i="3"/>
  <c r="E25" i="3"/>
  <c r="E24" i="3"/>
  <c r="E33" i="3" l="1"/>
  <c r="E73" i="3"/>
  <c r="F76" i="3"/>
  <c r="E90" i="3"/>
  <c r="E91" i="3" s="1"/>
  <c r="G98" i="3"/>
  <c r="E98" i="3" s="1"/>
  <c r="G63" i="3"/>
  <c r="G77" i="3"/>
  <c r="E72" i="3"/>
  <c r="G49" i="3"/>
  <c r="E49" i="3"/>
  <c r="E54" i="3"/>
  <c r="H94" i="3"/>
  <c r="H95" i="3" s="1"/>
  <c r="I94" i="3"/>
  <c r="I95" i="3" s="1"/>
  <c r="E62" i="3" l="1"/>
  <c r="E76" i="3"/>
  <c r="G94" i="3"/>
  <c r="G95" i="3" s="1"/>
  <c r="F77" i="3"/>
  <c r="F94" i="3"/>
  <c r="F95" i="3" s="1"/>
  <c r="E94" i="3" l="1"/>
  <c r="E95" i="3" l="1"/>
</calcChain>
</file>

<file path=xl/sharedStrings.xml><?xml version="1.0" encoding="utf-8"?>
<sst xmlns="http://schemas.openxmlformats.org/spreadsheetml/2006/main" count="306" uniqueCount="158">
  <si>
    <t>№ п/п</t>
  </si>
  <si>
    <t>Наименование мероприятия</t>
  </si>
  <si>
    <t>Объем финансирования по годам (тыс.руб.)</t>
  </si>
  <si>
    <t>Ответственный за выполнение мероприятия</t>
  </si>
  <si>
    <t>Ожидаемый результат</t>
  </si>
  <si>
    <t>ПЕРЕЧЕНЬ</t>
  </si>
  <si>
    <t>1.1.</t>
  </si>
  <si>
    <t>1.2.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</si>
  <si>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</si>
  <si>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</si>
  <si>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</si>
  <si>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</si>
  <si>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</si>
  <si>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</si>
  <si>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</si>
  <si>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</si>
  <si>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</si>
  <si>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6.1.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</si>
  <si>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</si>
  <si>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</si>
  <si>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</si>
  <si>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</si>
  <si>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</si>
  <si>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</si>
  <si>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</si>
  <si>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2.2.</t>
  </si>
  <si>
    <t>2.3.</t>
  </si>
  <si>
    <t>2.4.</t>
  </si>
  <si>
    <t>2.5.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</si>
  <si>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</si>
  <si>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</si>
  <si>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</si>
  <si>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</si>
  <si>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</si>
  <si>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</si>
  <si>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</si>
  <si>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</si>
  <si>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</si>
  <si>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</si>
  <si>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Бесперебойное освещение города в вечернее и ночное время суток с коэффициентом горения светильников не менее, чем 99%, обеспечение безопасного движения транспортных средств и пешеходов в вечернее и ночное время суток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</si>
  <si>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</si>
  <si>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</si>
  <si>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</si>
  <si>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Итого по разделу 7: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</si>
  <si>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</si>
  <si>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</si>
  <si>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</si>
  <si>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</si>
  <si>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 xml:space="preserve">                             </t>
  </si>
  <si>
    <t xml:space="preserve">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</si>
  <si>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</si>
  <si>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</si>
  <si>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разделу 1, в т.ч.:</t>
  </si>
  <si>
    <t>Итого по разделу 2, в т. ч.:</t>
  </si>
  <si>
    <t>Итого по разделу 3, в т. ч.:</t>
  </si>
  <si>
    <t>Итого по разделу 4, в т.ч.:</t>
  </si>
  <si>
    <t>Итого по разделу 5, в т.ч.:</t>
  </si>
  <si>
    <t>Итого по разделу 6, в т.ч.: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</si>
  <si>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</si>
  <si>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</si>
  <si>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</si>
  <si>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</si>
  <si>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</si>
  <si>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</si>
  <si>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</si>
  <si>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 xml:space="preserve">"Благоустроенный город Сертолово" 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</si>
  <si>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</si>
  <si>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</si>
  <si>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</si>
  <si>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</si>
  <si>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</si>
  <si>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</si>
  <si>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1.3.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</si>
  <si>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</si>
  <si>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</si>
  <si>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1.4.</t>
  </si>
  <si>
    <t>2017 г.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</si>
  <si>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</si>
  <si>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</si>
  <si>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</si>
  <si>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 xml:space="preserve"> МЕРОПРИЯТИЙ ПО РЕАЛИЗАЦИИ МУНИЦИПАЛЬНОЙ ПРОГРАММЫ МО СЕРТОЛОВО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</si>
  <si>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</si>
  <si>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</si>
  <si>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</si>
  <si>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</si>
  <si>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</si>
  <si>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</si>
  <si>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2.6.</t>
  </si>
  <si>
    <t>Проектирование участков улично-дорожной сети</t>
  </si>
  <si>
    <t>1.5.</t>
  </si>
  <si>
    <t>1.6.</t>
  </si>
  <si>
    <t>Бюджет ЛО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</si>
  <si>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</si>
  <si>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</si>
  <si>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</si>
  <si>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5.4.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</si>
  <si>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</si>
  <si>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</si>
  <si>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>1.7.</t>
  </si>
  <si>
    <t>1.8.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</si>
  <si>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</si>
  <si>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</si>
  <si>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</si>
  <si>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2017-2018 гг.</t>
  </si>
  <si>
    <t>2018 г.</t>
  </si>
  <si>
    <t>Обеспечение безопасности и здоровья граждан, улучшение внешнего облика города</t>
  </si>
  <si>
    <r>
      <t xml:space="preserve">                              от </t>
    </r>
    <r>
      <rPr>
        <u/>
        <sz val="10"/>
        <color indexed="10"/>
        <rFont val="Arial"/>
        <family val="1"/>
        <charset val="204"/>
      </rPr>
      <t xml:space="preserve">                              </t>
    </r>
    <r>
      <rPr>
        <sz val="10"/>
        <color indexed="10"/>
        <rFont val="Arial"/>
        <family val="1"/>
        <charset val="204"/>
      </rPr>
      <t xml:space="preserve">№ </t>
    </r>
    <r>
      <rPr>
        <u/>
        <sz val="10"/>
        <color indexed="10"/>
        <rFont val="Arial"/>
        <family val="1"/>
        <charset val="204"/>
      </rPr>
      <t xml:space="preserve">   </t>
    </r>
  </si>
  <si>
    <r>
      <t xml:space="preserve">Раздел 1. </t>
    </r>
    <r>
      <rPr>
        <sz val="10"/>
        <rFont val="Times New Roman"/>
        <family val="1"/>
        <charset val="204"/>
      </rPr>
      <t xml:space="preserve">  Благоустройство территории города Сертолово </t>
    </r>
  </si>
  <si>
    <r>
      <t xml:space="preserve">Раздел 2. </t>
    </r>
    <r>
      <rPr>
        <sz val="10"/>
        <rFont val="Times New Roman"/>
        <family val="1"/>
        <charset val="204"/>
      </rPr>
      <t xml:space="preserve"> Устройство, ремонт и содержание элементов улично-дорожной сети и технических средств организации дорожного движения на территории города Сертолово     </t>
    </r>
  </si>
  <si>
    <r>
      <t xml:space="preserve">Раздел 3. </t>
    </r>
    <r>
      <rPr>
        <sz val="10"/>
        <rFont val="Times New Roman"/>
        <family val="1"/>
        <charset val="204"/>
      </rPr>
      <t xml:space="preserve"> Организация санитарного содержания улично-дорожной сети на территории города Сертолово</t>
    </r>
  </si>
  <si>
    <r>
      <t xml:space="preserve">Раздел 4. </t>
    </r>
    <r>
      <rPr>
        <sz val="10"/>
        <rFont val="Times New Roman"/>
        <family val="1"/>
        <charset val="204"/>
      </rPr>
      <t xml:space="preserve"> Организация озеленения территории города Сертолово</t>
    </r>
  </si>
  <si>
    <r>
      <t xml:space="preserve"> Раздел 5. </t>
    </r>
    <r>
      <rPr>
        <sz val="10"/>
        <rFont val="Times New Roman"/>
        <family val="1"/>
        <charset val="204"/>
      </rPr>
      <t xml:space="preserve"> Организация санитарного содержания города Сертолово</t>
    </r>
  </si>
  <si>
    <r>
      <t xml:space="preserve"> Раздел 6. </t>
    </r>
    <r>
      <rPr>
        <sz val="10"/>
        <rFont val="Times New Roman"/>
        <family val="1"/>
        <charset val="204"/>
      </rPr>
      <t xml:space="preserve"> Создание условий для массового отдыха жителей города Сертолово</t>
    </r>
  </si>
  <si>
    <r>
      <t xml:space="preserve">     </t>
    </r>
    <r>
      <rPr>
        <b/>
        <sz val="10"/>
        <rFont val="Times New Roman"/>
        <family val="1"/>
        <charset val="204"/>
      </rPr>
      <t xml:space="preserve">   Раздел 7. </t>
    </r>
    <r>
      <rPr>
        <sz val="10"/>
        <rFont val="Times New Roman"/>
        <family val="1"/>
        <charset val="204"/>
      </rPr>
      <t>Организация уличного освещения  города Сертолово</t>
    </r>
  </si>
  <si>
    <r>
      <t xml:space="preserve">Раздел 8. </t>
    </r>
    <r>
      <rPr>
        <sz val="10"/>
        <rFont val="Times New Roman"/>
        <family val="1"/>
        <charset val="204"/>
      </rPr>
      <t>Формирование комфортной городской среды</t>
    </r>
  </si>
  <si>
    <t>8.1.</t>
  </si>
  <si>
    <t>Благоустройство общественных территорий города</t>
  </si>
  <si>
    <t>8.3.</t>
  </si>
  <si>
    <t>Разработка дизайн-проектов благоустройства общественных и дворовых территорий города</t>
  </si>
  <si>
    <t>Итого по разделу 8, в т.ч.</t>
  </si>
  <si>
    <t>Обеспечение условий для комфортного культурного отдыха и времяпрепровождения жителей города</t>
  </si>
  <si>
    <t>8.2.</t>
  </si>
  <si>
    <t>Благоустройство дворовых территорий города</t>
  </si>
  <si>
    <t>1.9.</t>
  </si>
  <si>
    <t>МУ "Оказание услуг "Развитие"</t>
  </si>
  <si>
    <t>Бюджет РФ</t>
  </si>
  <si>
    <t>1.10.</t>
  </si>
  <si>
    <t>Устройство цветочной клумбы в районе д. 6 мкр. Черная Речка в г. Сертолово</t>
  </si>
  <si>
    <t>"Формирование и обустройство объекта внешнего благоустройства в районе д. 4, 7 мкр. Черная Речка в г. Сертолово</t>
  </si>
  <si>
    <t>8.4.</t>
  </si>
  <si>
    <t>Разработка паспортов благоустройства общественных и дворовых территорий города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</si>
  <si>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</si>
  <si>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</si>
  <si>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</si>
  <si>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</si>
  <si>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</si>
  <si>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</si>
  <si>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1.11</t>
  </si>
  <si>
    <t>2019 г.</t>
  </si>
  <si>
    <t>4.5</t>
  </si>
  <si>
    <t>Посадка деревьев на территории города Сертолово</t>
  </si>
  <si>
    <t>6.4</t>
  </si>
  <si>
    <t>Подготовка и оформление территории города на период проведения праздничных мероприятий</t>
  </si>
  <si>
    <t>2017-2019 гг.</t>
  </si>
  <si>
    <t>2018-2019 гг.</t>
  </si>
  <si>
    <t>2017-2021 гг.</t>
  </si>
  <si>
    <t>Обустройство и содержание общественных территорий и пешеходных зон города Сертолово</t>
  </si>
  <si>
    <t>2017-2024 гг.</t>
  </si>
  <si>
    <t>2019 - 2024 гг.</t>
  </si>
  <si>
    <t>2019-2024 гг.</t>
  </si>
  <si>
    <t>2018-2019 гг.,
2022-2024 г.</t>
  </si>
  <si>
    <t>2022-2024 гг.</t>
  </si>
  <si>
    <t>2018-2019 гг.,
2022-2024 гг.</t>
  </si>
  <si>
    <t>2020-2024 гг.</t>
  </si>
  <si>
    <t>2.7.</t>
  </si>
  <si>
    <t>2019-2020 гг.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</si>
  <si>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</si>
  <si>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ПРИЛОЖЕНИЕ №1 
к постановлению администрации
МО Сертолово
от "11" сентября 2019 г. № 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</si>
</sst>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</font>
    <font>
      <u/>
      <sz val="10"/>
      <color indexed="10"/>
      <name val="Arial"/>
      <family val="1"/>
      <charset val="204"/>
    </font>
    <font>
      <sz val="10"/>
      <color indexed="10"/>
      <name val="Arial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Times New Roman"/>
      <family val="1"/>
      <charset val="204"/>
      <scheme val="minor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3" fillId="0" borderId="0" xfId="0" applyFont="1"/>
    <xf numFmtId="0" fontId="3" fillId="0" borderId="0" xfId="0" applyFont="1"/>
    <xf numFmtId="0" fontId="4" fillId="0" borderId="0" xfId="0" applyFont="1"/>
    <xf numFmtId="0" fontId="1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16" fontId="15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164" fontId="18" fillId="3" borderId="6" xfId="0" applyNumberFormat="1" applyFont="1" applyFill="1" applyBorder="1" applyAlignment="1">
      <alignment horizontal="center" vertical="center" wrapText="1"/>
    </xf>
    <xf numFmtId="164" fontId="18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2" borderId="0" xfId="0" applyFont="1" applyFill="1"/>
    <xf numFmtId="0" fontId="15" fillId="2" borderId="2" xfId="0" applyFont="1" applyFill="1" applyBorder="1" applyAlignment="1">
      <alignment vertical="center" wrapText="1"/>
    </xf>
    <xf numFmtId="164" fontId="15" fillId="2" borderId="7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164" fontId="18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/>
    </xf>
    <xf numFmtId="0" fontId="15" fillId="4" borderId="5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5" fillId="0" borderId="3" xfId="0" applyFont="1" applyBorder="1" applyAlignment="1">
      <alignment vertical="top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/>
    <xf numFmtId="164" fontId="15" fillId="0" borderId="3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5" fillId="0" borderId="2" xfId="0" applyFont="1" applyBorder="1"/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/>
    <xf numFmtId="0" fontId="18" fillId="0" borderId="1" xfId="0" applyFont="1" applyBorder="1" applyAlignment="1">
      <alignment horizontal="left" vertical="center"/>
    </xf>
    <xf numFmtId="0" fontId="15" fillId="0" borderId="5" xfId="0" applyFont="1" applyBorder="1"/>
    <xf numFmtId="164" fontId="18" fillId="0" borderId="7" xfId="0" applyNumberFormat="1" applyFont="1" applyBorder="1" applyAlignment="1">
      <alignment horizontal="center" vertical="center" wrapText="1"/>
    </xf>
    <xf numFmtId="0" fontId="15" fillId="0" borderId="4" xfId="0" applyFont="1" applyBorder="1"/>
    <xf numFmtId="164" fontId="18" fillId="0" borderId="3" xfId="0" applyNumberFormat="1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164" fontId="18" fillId="4" borderId="3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 wrapText="1"/>
    </xf>
    <xf numFmtId="164" fontId="18" fillId="5" borderId="2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16" fontId="15" fillId="2" borderId="6" xfId="0" quotePrefix="1" applyNumberFormat="1" applyFont="1" applyFill="1" applyBorder="1" applyAlignment="1">
      <alignment horizontal="center" vertical="center" wrapText="1"/>
    </xf>
    <xf numFmtId="16" fontId="15" fillId="0" borderId="7" xfId="0" quotePrefix="1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vertical="top" wrapText="1"/>
    </xf>
    <xf numFmtId="164" fontId="18" fillId="0" borderId="6" xfId="0" applyNumberFormat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164" fontId="15" fillId="3" borderId="2" xfId="0" applyNumberFormat="1" applyFont="1" applyFill="1" applyBorder="1" applyAlignment="1">
      <alignment horizontal="left" vertical="center" wrapText="1"/>
    </xf>
    <xf numFmtId="164" fontId="15" fillId="3" borderId="2" xfId="0" applyNumberFormat="1" applyFont="1" applyFill="1" applyBorder="1" applyAlignment="1">
      <alignment vertical="top" wrapText="1"/>
    </xf>
    <xf numFmtId="164" fontId="15" fillId="3" borderId="11" xfId="0" applyNumberFormat="1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164" fontId="15" fillId="2" borderId="9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8" fillId="3" borderId="9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left" vertical="center" wrapText="1"/>
    </xf>
    <xf numFmtId="16" fontId="15" fillId="2" borderId="7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1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" fontId="15" fillId="2" borderId="1" xfId="0" applyNumberFormat="1" applyFont="1" applyFill="1" applyBorder="1" applyAlignment="1">
      <alignment horizontal="center" vertical="center" wrapText="1"/>
    </xf>
    <xf numFmtId="16" fontId="15" fillId="2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50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8"/>
  <sheetViews>
    <sheetView tabSelected="1" view="pageBreakPreview" topLeftCell="A5" zoomScaleNormal="100" zoomScaleSheetLayoutView="100" workbookViewId="0">
      <pane ySplit="13" topLeftCell="A21" activePane="bottomLeft" state="frozen"/>
      <selection activeCell="A5" sqref="A5"/>
      <selection pane="bottomLeft" activeCell="M9" sqref="M9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8" customWidth="1"/>
    <col min="11" max="11" width="8.28515625" style="18" customWidth="1"/>
    <col min="12" max="12" width="9" style="18" customWidth="1"/>
    <col min="13" max="13" width="8.85546875" style="18" customWidth="1"/>
    <col min="14" max="14" width="13.42578125" style="3" customWidth="1"/>
    <col min="15" max="15" width="26.7109375" style="3" customWidth="1"/>
    <col min="16" max="16" width="9.140625" style="3"/>
    <col min="17" max="17" width="9.42578125" style="3" bestFit="1" customWidth="1"/>
    <col min="18" max="16384" width="9.140625" style="3"/>
  </cols>
  <sheetData>
    <row r="1" spans="1:16" ht="15.75" hidden="1" x14ac:dyDescent="0.25">
      <c r="A1" s="1"/>
      <c r="B1" s="1"/>
      <c r="C1" s="1"/>
      <c r="D1" s="1"/>
      <c r="E1" s="1"/>
      <c r="F1" s="1"/>
      <c r="G1" s="147" t="s">
        <v>64</v>
      </c>
      <c r="H1" s="147"/>
      <c r="I1" s="147"/>
      <c r="J1" s="147"/>
      <c r="K1" s="147"/>
      <c r="L1" s="147"/>
      <c r="M1" s="147"/>
      <c r="N1" s="147"/>
      <c r="O1" s="147"/>
      <c r="P1" s="2"/>
    </row>
    <row r="2" spans="1:16" ht="14.25" hidden="1" customHeight="1" x14ac:dyDescent="0.25">
      <c r="A2" s="1"/>
      <c r="B2" s="1"/>
      <c r="C2" s="1"/>
      <c r="D2" s="1"/>
      <c r="E2" s="1"/>
      <c r="F2" s="1"/>
      <c r="G2" s="147" t="s">
        <v>62</v>
      </c>
      <c r="H2" s="147"/>
      <c r="I2" s="147"/>
      <c r="J2" s="147"/>
      <c r="K2" s="147"/>
      <c r="L2" s="147"/>
      <c r="M2" s="147"/>
      <c r="N2" s="147"/>
      <c r="O2" s="147"/>
      <c r="P2" s="2"/>
    </row>
    <row r="3" spans="1:16" ht="14.25" hidden="1" customHeight="1" x14ac:dyDescent="0.25">
      <c r="A3" s="1"/>
      <c r="B3" s="1"/>
      <c r="C3" s="1"/>
      <c r="D3" s="1"/>
      <c r="E3" s="1"/>
      <c r="F3" s="1"/>
      <c r="G3" s="147" t="s">
        <v>63</v>
      </c>
      <c r="H3" s="147"/>
      <c r="I3" s="147"/>
      <c r="J3" s="147"/>
      <c r="K3" s="147"/>
      <c r="L3" s="147"/>
      <c r="M3" s="147"/>
      <c r="N3" s="147"/>
      <c r="O3" s="147"/>
      <c r="P3" s="2"/>
    </row>
    <row r="4" spans="1:16" ht="15" hidden="1" customHeight="1" x14ac:dyDescent="0.25">
      <c r="A4" s="1"/>
      <c r="B4" s="1"/>
      <c r="C4" s="1"/>
      <c r="D4" s="1"/>
      <c r="E4" s="1"/>
      <c r="F4" s="4"/>
      <c r="G4" s="147" t="s">
        <v>106</v>
      </c>
      <c r="H4" s="171"/>
      <c r="I4" s="171"/>
      <c r="J4" s="171"/>
      <c r="K4" s="171"/>
      <c r="L4" s="171"/>
      <c r="M4" s="171"/>
      <c r="N4" s="171"/>
      <c r="O4" s="171"/>
      <c r="P4" s="5"/>
    </row>
    <row r="5" spans="1:16" ht="17.25" customHeight="1" x14ac:dyDescent="0.25">
      <c r="A5" s="1"/>
      <c r="B5" s="1"/>
      <c r="C5" s="1"/>
      <c r="D5" s="1"/>
      <c r="E5" s="1"/>
      <c r="F5" s="4"/>
      <c r="G5" s="139"/>
      <c r="H5" s="140"/>
      <c r="I5" s="140"/>
      <c r="J5" s="140"/>
      <c r="K5" s="140"/>
      <c r="L5" s="140"/>
      <c r="M5" s="178" t="s">
        <v>157</v>
      </c>
      <c r="N5" s="179"/>
      <c r="O5" s="179"/>
      <c r="P5" s="5"/>
    </row>
    <row r="6" spans="1:16" ht="15" customHeight="1" x14ac:dyDescent="0.25">
      <c r="A6" s="1"/>
      <c r="B6" s="1"/>
      <c r="C6" s="1"/>
      <c r="D6" s="1"/>
      <c r="E6" s="1"/>
      <c r="F6" s="4"/>
      <c r="G6" s="139"/>
      <c r="H6" s="140"/>
      <c r="I6" s="140"/>
      <c r="J6" s="140"/>
      <c r="K6" s="140"/>
      <c r="L6" s="140"/>
      <c r="M6" s="179"/>
      <c r="N6" s="179"/>
      <c r="O6" s="179"/>
      <c r="P6" s="5"/>
    </row>
    <row r="7" spans="1:16" ht="15" customHeight="1" x14ac:dyDescent="0.25">
      <c r="A7" s="1"/>
      <c r="B7" s="1"/>
      <c r="C7" s="1"/>
      <c r="D7" s="1"/>
      <c r="E7" s="1"/>
      <c r="F7" s="4"/>
      <c r="G7" s="139"/>
      <c r="H7" s="140"/>
      <c r="I7" s="140"/>
      <c r="J7" s="140"/>
      <c r="K7" s="140"/>
      <c r="L7" s="140"/>
      <c r="M7" s="179"/>
      <c r="N7" s="179"/>
      <c r="O7" s="179"/>
      <c r="P7" s="5"/>
    </row>
    <row r="8" spans="1:16" ht="15" customHeight="1" x14ac:dyDescent="0.25">
      <c r="A8" s="1"/>
      <c r="B8" s="1"/>
      <c r="C8" s="1"/>
      <c r="D8" s="1"/>
      <c r="E8" s="1"/>
      <c r="F8" s="4"/>
      <c r="G8" s="139"/>
      <c r="H8" s="140"/>
      <c r="I8" s="140"/>
      <c r="J8" s="140"/>
      <c r="K8" s="140"/>
      <c r="L8" s="140"/>
      <c r="M8" s="179"/>
      <c r="N8" s="179"/>
      <c r="O8" s="179"/>
      <c r="P8" s="5"/>
    </row>
    <row r="9" spans="1:16" ht="15" customHeight="1" x14ac:dyDescent="0.25">
      <c r="A9" s="1"/>
      <c r="B9" s="1"/>
      <c r="C9" s="1"/>
      <c r="D9" s="1"/>
      <c r="E9" s="1"/>
      <c r="F9" s="4"/>
      <c r="G9" s="139"/>
      <c r="H9" s="140"/>
      <c r="I9" s="140"/>
      <c r="J9" s="140"/>
      <c r="K9" s="140"/>
      <c r="L9" s="140"/>
      <c r="M9" s="140"/>
      <c r="N9" s="140"/>
      <c r="O9" s="140"/>
      <c r="P9" s="5"/>
    </row>
    <row r="10" spans="1:16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5"/>
    </row>
    <row r="11" spans="1:16" s="6" customFormat="1" ht="15.75" customHeight="1" x14ac:dyDescent="0.3">
      <c r="A11" s="172" t="s">
        <v>5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6" s="6" customFormat="1" ht="16.5" customHeight="1" x14ac:dyDescent="0.3">
      <c r="A12" s="172" t="s">
        <v>80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</row>
    <row r="13" spans="1:16" ht="15" customHeight="1" x14ac:dyDescent="0.3">
      <c r="A13" s="172" t="s">
        <v>65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 spans="1:16" ht="15.75" customHeight="1" x14ac:dyDescent="0.3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spans="1:16" ht="14.25" customHeight="1" x14ac:dyDescent="0.2">
      <c r="A15" s="183" t="s">
        <v>0</v>
      </c>
      <c r="B15" s="175" t="s">
        <v>1</v>
      </c>
      <c r="C15" s="174" t="s">
        <v>21</v>
      </c>
      <c r="D15" s="173" t="s">
        <v>20</v>
      </c>
      <c r="E15" s="174" t="s">
        <v>23</v>
      </c>
      <c r="F15" s="176" t="s">
        <v>2</v>
      </c>
      <c r="G15" s="176"/>
      <c r="H15" s="176"/>
      <c r="I15" s="176"/>
      <c r="J15" s="176"/>
      <c r="K15" s="177"/>
      <c r="L15" s="126"/>
      <c r="M15" s="126"/>
      <c r="N15" s="173" t="s">
        <v>3</v>
      </c>
      <c r="O15" s="181" t="s">
        <v>4</v>
      </c>
      <c r="P15" s="21"/>
    </row>
    <row r="16" spans="1:16" ht="19.5" customHeight="1" x14ac:dyDescent="0.2">
      <c r="A16" s="183"/>
      <c r="B16" s="175"/>
      <c r="C16" s="174"/>
      <c r="D16" s="173"/>
      <c r="E16" s="174"/>
      <c r="F16" s="10">
        <v>2017</v>
      </c>
      <c r="G16" s="11">
        <v>2018</v>
      </c>
      <c r="H16" s="12">
        <v>2019</v>
      </c>
      <c r="I16" s="13">
        <v>2020</v>
      </c>
      <c r="J16" s="13">
        <v>2021</v>
      </c>
      <c r="K16" s="13">
        <v>2022</v>
      </c>
      <c r="L16" s="13">
        <v>2023</v>
      </c>
      <c r="M16" s="13">
        <v>2024</v>
      </c>
      <c r="N16" s="173"/>
      <c r="O16" s="182"/>
      <c r="P16" s="21"/>
    </row>
    <row r="17" spans="1:21" x14ac:dyDescent="0.2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5">
        <v>8</v>
      </c>
      <c r="I17" s="15">
        <v>9</v>
      </c>
      <c r="J17" s="15">
        <v>10</v>
      </c>
      <c r="K17" s="15">
        <v>11</v>
      </c>
      <c r="L17" s="15">
        <v>12</v>
      </c>
      <c r="M17" s="15">
        <v>13</v>
      </c>
      <c r="N17" s="14">
        <v>14</v>
      </c>
      <c r="O17" s="14">
        <v>15</v>
      </c>
      <c r="P17" s="21"/>
    </row>
    <row r="18" spans="1:21" ht="16.5" customHeight="1" x14ac:dyDescent="0.2">
      <c r="A18" s="166" t="s">
        <v>107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8"/>
      <c r="P18" s="21"/>
    </row>
    <row r="19" spans="1:21" ht="39.75" customHeight="1" x14ac:dyDescent="0.2">
      <c r="A19" s="14" t="s">
        <v>6</v>
      </c>
      <c r="B19" s="22" t="s">
        <v>73</v>
      </c>
      <c r="C19" s="23" t="s">
        <v>24</v>
      </c>
      <c r="D19" s="24" t="s">
        <v>143</v>
      </c>
      <c r="E19" s="25">
        <f>F19+G19+H19+I19+K19+J19</f>
        <v>1692.3000000000002</v>
      </c>
      <c r="F19" s="26">
        <v>1154.2</v>
      </c>
      <c r="G19" s="27">
        <f>300-41.9</f>
        <v>258.10000000000002</v>
      </c>
      <c r="H19" s="27">
        <v>280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9" t="s">
        <v>124</v>
      </c>
      <c r="O19" s="30" t="s">
        <v>74</v>
      </c>
      <c r="P19" s="21"/>
      <c r="Q19" s="146"/>
      <c r="R19" s="146"/>
      <c r="S19" s="146"/>
      <c r="T19" s="146"/>
    </row>
    <row r="20" spans="1:21" ht="38.25" customHeight="1" x14ac:dyDescent="0.2">
      <c r="A20" s="14" t="s">
        <v>7</v>
      </c>
      <c r="B20" s="22" t="s">
        <v>79</v>
      </c>
      <c r="C20" s="23" t="s">
        <v>24</v>
      </c>
      <c r="D20" s="24" t="s">
        <v>143</v>
      </c>
      <c r="E20" s="25">
        <f>F20+G20+H20+I20+K20+J20</f>
        <v>2807</v>
      </c>
      <c r="F20" s="26">
        <v>623.1</v>
      </c>
      <c r="G20" s="27">
        <v>415.9</v>
      </c>
      <c r="H20" s="27">
        <f>256+475+1037</f>
        <v>1768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9" t="s">
        <v>124</v>
      </c>
      <c r="O20" s="30" t="s">
        <v>77</v>
      </c>
      <c r="P20" s="21"/>
      <c r="Q20" s="146"/>
      <c r="R20" s="146"/>
      <c r="S20" s="146"/>
      <c r="T20" s="146"/>
    </row>
    <row r="21" spans="1:21" ht="50.25" customHeight="1" x14ac:dyDescent="0.2">
      <c r="A21" s="23" t="s">
        <v>72</v>
      </c>
      <c r="B21" s="22" t="s">
        <v>81</v>
      </c>
      <c r="C21" s="23" t="s">
        <v>24</v>
      </c>
      <c r="D21" s="24" t="s">
        <v>147</v>
      </c>
      <c r="E21" s="25">
        <f>SUM(F21:M21)</f>
        <v>32351.4</v>
      </c>
      <c r="F21" s="26">
        <v>4076.3</v>
      </c>
      <c r="G21" s="115">
        <f>2674.4</f>
        <v>2674.4</v>
      </c>
      <c r="H21" s="31">
        <f>2910.3+298+487.4-7.5</f>
        <v>3688.2000000000003</v>
      </c>
      <c r="I21" s="32">
        <v>3965.6</v>
      </c>
      <c r="J21" s="32">
        <v>4163.8999999999996</v>
      </c>
      <c r="K21" s="32">
        <v>4372.1000000000004</v>
      </c>
      <c r="L21" s="32">
        <v>4590.7</v>
      </c>
      <c r="M21" s="32">
        <v>4820.2</v>
      </c>
      <c r="N21" s="22" t="s">
        <v>124</v>
      </c>
      <c r="O21" s="22" t="s">
        <v>78</v>
      </c>
      <c r="P21" s="21"/>
      <c r="Q21" s="16"/>
      <c r="R21" s="16"/>
      <c r="S21" s="16"/>
      <c r="T21" s="16"/>
    </row>
    <row r="22" spans="1:21" ht="27" customHeight="1" x14ac:dyDescent="0.2">
      <c r="A22" s="189" t="s">
        <v>75</v>
      </c>
      <c r="B22" s="169" t="s">
        <v>135</v>
      </c>
      <c r="C22" s="23" t="s">
        <v>24</v>
      </c>
      <c r="D22" s="24" t="s">
        <v>147</v>
      </c>
      <c r="E22" s="25">
        <f>F22+G22+H22+I22+K22+J22+L22+M22</f>
        <v>16596.3</v>
      </c>
      <c r="F22" s="26">
        <v>1716.8</v>
      </c>
      <c r="G22" s="27">
        <f>2264.5+312.6+41.9-60-57+150.4</f>
        <v>2652.4</v>
      </c>
      <c r="H22" s="27">
        <f>1339.3+654.8+343+3500-122.6-21-182.9</f>
        <v>5510.6</v>
      </c>
      <c r="I22" s="28">
        <v>1215.5</v>
      </c>
      <c r="J22" s="28">
        <v>1276.3</v>
      </c>
      <c r="K22" s="32">
        <f>1340.1</f>
        <v>1340.1</v>
      </c>
      <c r="L22" s="37">
        <v>1407.1</v>
      </c>
      <c r="M22" s="37">
        <v>1477.5</v>
      </c>
      <c r="N22" s="169" t="s">
        <v>124</v>
      </c>
      <c r="O22" s="169" t="s">
        <v>136</v>
      </c>
      <c r="P22" s="21"/>
      <c r="Q22" s="16"/>
      <c r="R22" s="16"/>
      <c r="S22" s="16"/>
      <c r="T22" s="16"/>
    </row>
    <row r="23" spans="1:21" ht="25.5" customHeight="1" x14ac:dyDescent="0.2">
      <c r="A23" s="190"/>
      <c r="B23" s="170"/>
      <c r="C23" s="15" t="s">
        <v>91</v>
      </c>
      <c r="D23" s="24" t="s">
        <v>104</v>
      </c>
      <c r="E23" s="25">
        <f t="shared" ref="E23:E29" si="0">SUM(F23:K23)</f>
        <v>5736.5</v>
      </c>
      <c r="F23" s="26">
        <v>0</v>
      </c>
      <c r="G23" s="27">
        <v>2650</v>
      </c>
      <c r="H23" s="27">
        <v>3086.5</v>
      </c>
      <c r="I23" s="28">
        <v>0</v>
      </c>
      <c r="J23" s="28">
        <v>0</v>
      </c>
      <c r="K23" s="32">
        <v>0</v>
      </c>
      <c r="L23" s="127">
        <v>0</v>
      </c>
      <c r="M23" s="127">
        <v>0</v>
      </c>
      <c r="N23" s="170"/>
      <c r="O23" s="170"/>
      <c r="P23" s="21"/>
      <c r="Q23" s="16"/>
      <c r="R23" s="16"/>
      <c r="S23" s="16"/>
      <c r="T23" s="16"/>
    </row>
    <row r="24" spans="1:21" ht="111.75" customHeight="1" x14ac:dyDescent="0.2">
      <c r="A24" s="33" t="s">
        <v>89</v>
      </c>
      <c r="B24" s="34" t="s">
        <v>131</v>
      </c>
      <c r="C24" s="15" t="s">
        <v>24</v>
      </c>
      <c r="D24" s="24" t="s">
        <v>103</v>
      </c>
      <c r="E24" s="25">
        <f t="shared" si="0"/>
        <v>48357.2</v>
      </c>
      <c r="F24" s="26">
        <v>18080.7</v>
      </c>
      <c r="G24" s="27">
        <f>100+29974+5+100+97.5</f>
        <v>30276.5</v>
      </c>
      <c r="H24" s="27">
        <v>0</v>
      </c>
      <c r="I24" s="27">
        <v>0</v>
      </c>
      <c r="J24" s="27">
        <v>0</v>
      </c>
      <c r="K24" s="27">
        <v>0</v>
      </c>
      <c r="L24" s="28">
        <v>0</v>
      </c>
      <c r="M24" s="28">
        <v>0</v>
      </c>
      <c r="N24" s="29" t="s">
        <v>124</v>
      </c>
      <c r="O24" s="30" t="s">
        <v>78</v>
      </c>
      <c r="P24" s="21"/>
      <c r="Q24" s="165"/>
      <c r="R24" s="165"/>
      <c r="S24" s="165"/>
      <c r="T24" s="165"/>
      <c r="U24" s="165"/>
    </row>
    <row r="25" spans="1:21" ht="75" customHeight="1" x14ac:dyDescent="0.2">
      <c r="A25" s="33" t="s">
        <v>90</v>
      </c>
      <c r="B25" s="34" t="s">
        <v>132</v>
      </c>
      <c r="C25" s="15" t="s">
        <v>24</v>
      </c>
      <c r="D25" s="24" t="s">
        <v>103</v>
      </c>
      <c r="E25" s="35">
        <f t="shared" si="0"/>
        <v>2863.5</v>
      </c>
      <c r="F25" s="36">
        <v>1963.9</v>
      </c>
      <c r="G25" s="37">
        <v>899.6</v>
      </c>
      <c r="H25" s="37">
        <v>0</v>
      </c>
      <c r="I25" s="37">
        <v>0</v>
      </c>
      <c r="J25" s="37">
        <v>0</v>
      </c>
      <c r="K25" s="37">
        <v>0</v>
      </c>
      <c r="L25" s="32">
        <v>0</v>
      </c>
      <c r="M25" s="32">
        <v>0</v>
      </c>
      <c r="N25" s="29" t="s">
        <v>124</v>
      </c>
      <c r="O25" s="30" t="s">
        <v>78</v>
      </c>
      <c r="P25" s="21"/>
      <c r="Q25" s="17"/>
      <c r="R25" s="17"/>
      <c r="S25" s="17"/>
      <c r="T25" s="17"/>
      <c r="U25" s="17"/>
    </row>
    <row r="26" spans="1:21" ht="48.75" customHeight="1" x14ac:dyDescent="0.2">
      <c r="A26" s="33" t="s">
        <v>98</v>
      </c>
      <c r="B26" s="34" t="s">
        <v>133</v>
      </c>
      <c r="C26" s="15" t="s">
        <v>24</v>
      </c>
      <c r="D26" s="24" t="s">
        <v>76</v>
      </c>
      <c r="E26" s="35">
        <f t="shared" si="0"/>
        <v>39</v>
      </c>
      <c r="F26" s="36">
        <v>39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2">
        <v>0</v>
      </c>
      <c r="M26" s="32">
        <v>0</v>
      </c>
      <c r="N26" s="29" t="s">
        <v>124</v>
      </c>
      <c r="O26" s="30" t="s">
        <v>78</v>
      </c>
      <c r="P26" s="21"/>
      <c r="Q26" s="143"/>
      <c r="R26" s="144"/>
      <c r="S26" s="144"/>
      <c r="T26" s="144"/>
      <c r="U26" s="144"/>
    </row>
    <row r="27" spans="1:21" ht="51" customHeight="1" x14ac:dyDescent="0.2">
      <c r="A27" s="33" t="s">
        <v>99</v>
      </c>
      <c r="B27" s="34" t="s">
        <v>134</v>
      </c>
      <c r="C27" s="15" t="s">
        <v>24</v>
      </c>
      <c r="D27" s="24" t="s">
        <v>76</v>
      </c>
      <c r="E27" s="35">
        <f t="shared" si="0"/>
        <v>37</v>
      </c>
      <c r="F27" s="36">
        <v>37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2">
        <v>0</v>
      </c>
      <c r="M27" s="32">
        <v>0</v>
      </c>
      <c r="N27" s="29" t="s">
        <v>124</v>
      </c>
      <c r="O27" s="30" t="s">
        <v>78</v>
      </c>
      <c r="P27" s="21"/>
    </row>
    <row r="28" spans="1:21" ht="30.75" customHeight="1" x14ac:dyDescent="0.2">
      <c r="A28" s="187" t="s">
        <v>123</v>
      </c>
      <c r="B28" s="169" t="s">
        <v>128</v>
      </c>
      <c r="C28" s="15" t="s">
        <v>24</v>
      </c>
      <c r="D28" s="24" t="s">
        <v>104</v>
      </c>
      <c r="E28" s="113">
        <f t="shared" si="0"/>
        <v>30</v>
      </c>
      <c r="F28" s="36">
        <v>0</v>
      </c>
      <c r="G28" s="27">
        <v>30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169" t="s">
        <v>124</v>
      </c>
      <c r="O28" s="169" t="s">
        <v>78</v>
      </c>
      <c r="P28" s="21"/>
    </row>
    <row r="29" spans="1:21" ht="32.25" customHeight="1" x14ac:dyDescent="0.2">
      <c r="A29" s="188"/>
      <c r="B29" s="170"/>
      <c r="C29" s="15" t="s">
        <v>91</v>
      </c>
      <c r="D29" s="24" t="s">
        <v>104</v>
      </c>
      <c r="E29" s="113">
        <f t="shared" si="0"/>
        <v>270</v>
      </c>
      <c r="F29" s="36">
        <v>0</v>
      </c>
      <c r="G29" s="27">
        <v>270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170"/>
      <c r="O29" s="170"/>
      <c r="P29" s="21"/>
    </row>
    <row r="30" spans="1:21" ht="25.5" customHeight="1" x14ac:dyDescent="0.2">
      <c r="A30" s="187" t="s">
        <v>126</v>
      </c>
      <c r="B30" s="169" t="s">
        <v>127</v>
      </c>
      <c r="C30" s="15" t="s">
        <v>24</v>
      </c>
      <c r="D30" s="24" t="s">
        <v>104</v>
      </c>
      <c r="E30" s="113">
        <f>SUM(F30:K30)</f>
        <v>30</v>
      </c>
      <c r="F30" s="36">
        <v>0</v>
      </c>
      <c r="G30" s="27">
        <v>30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169" t="s">
        <v>124</v>
      </c>
      <c r="O30" s="169" t="s">
        <v>78</v>
      </c>
      <c r="P30" s="21"/>
    </row>
    <row r="31" spans="1:21" ht="24" customHeight="1" x14ac:dyDescent="0.2">
      <c r="A31" s="188"/>
      <c r="B31" s="170"/>
      <c r="C31" s="15" t="s">
        <v>91</v>
      </c>
      <c r="D31" s="24" t="s">
        <v>104</v>
      </c>
      <c r="E31" s="113">
        <f>SUM(F31:K31)</f>
        <v>270</v>
      </c>
      <c r="F31" s="36">
        <v>0</v>
      </c>
      <c r="G31" s="27">
        <v>270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170"/>
      <c r="O31" s="170"/>
      <c r="P31" s="21"/>
    </row>
    <row r="32" spans="1:21" ht="47.25" customHeight="1" x14ac:dyDescent="0.2">
      <c r="A32" s="117" t="s">
        <v>137</v>
      </c>
      <c r="B32" s="116" t="s">
        <v>146</v>
      </c>
      <c r="C32" s="15" t="s">
        <v>24</v>
      </c>
      <c r="D32" s="136" t="s">
        <v>148</v>
      </c>
      <c r="E32" s="113">
        <f>SUM(F32:M32)</f>
        <v>15895.099999999999</v>
      </c>
      <c r="F32" s="36">
        <v>0</v>
      </c>
      <c r="G32" s="27">
        <v>0</v>
      </c>
      <c r="H32" s="37">
        <f>300+4800+4000+2000+75+239.4+410.2+974.9+1430.3</f>
        <v>14229.8</v>
      </c>
      <c r="I32" s="37">
        <v>309</v>
      </c>
      <c r="J32" s="37">
        <v>319.3</v>
      </c>
      <c r="K32" s="37">
        <v>328.9</v>
      </c>
      <c r="L32" s="128">
        <v>345.4</v>
      </c>
      <c r="M32" s="128">
        <v>362.7</v>
      </c>
      <c r="N32" s="116" t="s">
        <v>124</v>
      </c>
      <c r="O32" s="116" t="s">
        <v>78</v>
      </c>
      <c r="P32" s="21"/>
    </row>
    <row r="33" spans="1:21" ht="14.25" customHeight="1" x14ac:dyDescent="0.2">
      <c r="A33" s="38"/>
      <c r="B33" s="39" t="s">
        <v>52</v>
      </c>
      <c r="C33" s="38"/>
      <c r="D33" s="38"/>
      <c r="E33" s="40">
        <f t="shared" ref="E33:K33" si="1">SUM(E19:E32)</f>
        <v>126975.29999999999</v>
      </c>
      <c r="F33" s="41">
        <f t="shared" si="1"/>
        <v>27691.000000000004</v>
      </c>
      <c r="G33" s="41">
        <f t="shared" si="1"/>
        <v>40426.9</v>
      </c>
      <c r="H33" s="41">
        <f t="shared" si="1"/>
        <v>28563.1</v>
      </c>
      <c r="I33" s="41">
        <f t="shared" si="1"/>
        <v>5490.1</v>
      </c>
      <c r="J33" s="41">
        <f t="shared" si="1"/>
        <v>5759.5</v>
      </c>
      <c r="K33" s="41">
        <f t="shared" si="1"/>
        <v>6041.1</v>
      </c>
      <c r="L33" s="41">
        <f>SUM(L19:L32)</f>
        <v>6343.1999999999989</v>
      </c>
      <c r="M33" s="41">
        <f>SUM(M19:M32)</f>
        <v>6660.4</v>
      </c>
      <c r="N33" s="42"/>
      <c r="O33" s="124"/>
      <c r="P33" s="21"/>
    </row>
    <row r="34" spans="1:21" ht="15.75" customHeight="1" x14ac:dyDescent="0.2">
      <c r="A34" s="38"/>
      <c r="B34" s="39" t="s">
        <v>29</v>
      </c>
      <c r="C34" s="38"/>
      <c r="D34" s="38"/>
      <c r="E34" s="41">
        <f>SUM(F34:M34)</f>
        <v>120698.8</v>
      </c>
      <c r="F34" s="41">
        <f>F19+F20+F21+F22+F24+F25+F27++F28+F26</f>
        <v>27691.000000000004</v>
      </c>
      <c r="G34" s="41">
        <f>G19+G20+G21+G22+G24+G25+G27++G28+G26+G30</f>
        <v>37236.9</v>
      </c>
      <c r="H34" s="41">
        <f>H19+H20+H21+H22+H24+H25+H27+H32+H28+H26</f>
        <v>25476.6</v>
      </c>
      <c r="I34" s="41">
        <f t="shared" ref="I34:K34" si="2">I19+I20+I21+I22+I24+I25+I27+I32+I28+I26</f>
        <v>5490.1</v>
      </c>
      <c r="J34" s="41">
        <f t="shared" si="2"/>
        <v>5759.5</v>
      </c>
      <c r="K34" s="41">
        <f t="shared" si="2"/>
        <v>6041.1</v>
      </c>
      <c r="L34" s="41">
        <f>L33</f>
        <v>6343.1999999999989</v>
      </c>
      <c r="M34" s="41">
        <f>M33</f>
        <v>6660.4</v>
      </c>
      <c r="N34" s="42"/>
      <c r="O34" s="43"/>
      <c r="P34" s="21"/>
    </row>
    <row r="35" spans="1:21" ht="15.75" customHeight="1" x14ac:dyDescent="0.2">
      <c r="A35" s="38"/>
      <c r="B35" s="39" t="s">
        <v>91</v>
      </c>
      <c r="C35" s="38"/>
      <c r="D35" s="38"/>
      <c r="E35" s="41">
        <f>SUM(F35:K35)</f>
        <v>6276.5</v>
      </c>
      <c r="F35" s="41">
        <f>F29+F23</f>
        <v>0</v>
      </c>
      <c r="G35" s="41">
        <f>G31+G29+G23</f>
        <v>3190</v>
      </c>
      <c r="H35" s="41">
        <f>H29+H23</f>
        <v>3086.5</v>
      </c>
      <c r="I35" s="41">
        <f>I29+I23</f>
        <v>0</v>
      </c>
      <c r="J35" s="41">
        <f>J29+J23</f>
        <v>0</v>
      </c>
      <c r="K35" s="41">
        <f>K29+K23</f>
        <v>0</v>
      </c>
      <c r="L35" s="41">
        <v>0</v>
      </c>
      <c r="M35" s="41">
        <v>0</v>
      </c>
      <c r="N35" s="42"/>
      <c r="O35" s="43"/>
      <c r="P35" s="21"/>
    </row>
    <row r="36" spans="1:21" ht="16.5" customHeight="1" x14ac:dyDescent="0.2">
      <c r="A36" s="166" t="s">
        <v>108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8"/>
      <c r="P36" s="21" t="s">
        <v>48</v>
      </c>
      <c r="Q36" s="145"/>
      <c r="R36" s="146"/>
      <c r="S36" s="146"/>
      <c r="T36" s="146"/>
      <c r="U36" s="146"/>
    </row>
    <row r="37" spans="1:21" ht="52.5" customHeight="1" x14ac:dyDescent="0.2">
      <c r="A37" s="14" t="s">
        <v>8</v>
      </c>
      <c r="B37" s="30" t="s">
        <v>82</v>
      </c>
      <c r="C37" s="14" t="s">
        <v>24</v>
      </c>
      <c r="D37" s="24" t="s">
        <v>147</v>
      </c>
      <c r="E37" s="35">
        <f>F37+G37+H37+I37+K37+J37+L37+M37</f>
        <v>21812.1</v>
      </c>
      <c r="F37" s="36">
        <v>1876.3</v>
      </c>
      <c r="G37" s="27">
        <f>2450.6+255+192+45.7</f>
        <v>2943.2999999999997</v>
      </c>
      <c r="H37" s="27">
        <v>6596.5</v>
      </c>
      <c r="I37" s="37">
        <v>1881.3</v>
      </c>
      <c r="J37" s="37">
        <v>1975.5</v>
      </c>
      <c r="K37" s="37">
        <v>2074.3000000000002</v>
      </c>
      <c r="L37" s="37">
        <v>2178</v>
      </c>
      <c r="M37" s="37">
        <v>2286.9</v>
      </c>
      <c r="N37" s="30" t="s">
        <v>59</v>
      </c>
      <c r="O37" s="30" t="s">
        <v>40</v>
      </c>
      <c r="P37" s="21"/>
    </row>
    <row r="38" spans="1:21" ht="65.25" customHeight="1" x14ac:dyDescent="0.2">
      <c r="A38" s="14" t="s">
        <v>25</v>
      </c>
      <c r="B38" s="44" t="s">
        <v>51</v>
      </c>
      <c r="C38" s="14" t="s">
        <v>24</v>
      </c>
      <c r="D38" s="24" t="s">
        <v>147</v>
      </c>
      <c r="E38" s="35">
        <f>F38+G38+H38+I38+K38+J38+L38+M38</f>
        <v>1017</v>
      </c>
      <c r="F38" s="83">
        <v>98.5</v>
      </c>
      <c r="G38" s="45">
        <f>205-5-71.5</f>
        <v>128.5</v>
      </c>
      <c r="H38" s="45">
        <v>150</v>
      </c>
      <c r="I38" s="84">
        <v>115.8</v>
      </c>
      <c r="J38" s="84">
        <v>121.6</v>
      </c>
      <c r="K38" s="84">
        <v>127.7</v>
      </c>
      <c r="L38" s="84">
        <v>134.1</v>
      </c>
      <c r="M38" s="84">
        <v>140.80000000000001</v>
      </c>
      <c r="N38" s="46" t="s">
        <v>59</v>
      </c>
      <c r="O38" s="30" t="s">
        <v>40</v>
      </c>
      <c r="P38" s="21"/>
    </row>
    <row r="39" spans="1:21" ht="28.5" customHeight="1" x14ac:dyDescent="0.2">
      <c r="A39" s="184" t="s">
        <v>26</v>
      </c>
      <c r="B39" s="155" t="s">
        <v>66</v>
      </c>
      <c r="C39" s="15" t="s">
        <v>29</v>
      </c>
      <c r="D39" s="24" t="s">
        <v>147</v>
      </c>
      <c r="E39" s="35">
        <f>F39+G39+H39+I39+K39+J39+L39+M39</f>
        <v>51410.800000000017</v>
      </c>
      <c r="F39" s="26">
        <v>906</v>
      </c>
      <c r="G39" s="27">
        <f>5178.9+3300-14-10</f>
        <v>8454.9</v>
      </c>
      <c r="H39" s="45">
        <f>15000+410.2+239.4+974.9-239.4-410.2-974.9+3720+760+713.4-1406.6-17.8+21+95.4</f>
        <v>18885.400000000005</v>
      </c>
      <c r="I39" s="45">
        <f>1157.6-99.2+20709.7-3400</f>
        <v>18368.100000000002</v>
      </c>
      <c r="J39" s="45">
        <f>1215.5-104.2</f>
        <v>1111.3</v>
      </c>
      <c r="K39" s="45">
        <f>1276.3-109.4</f>
        <v>1166.8999999999999</v>
      </c>
      <c r="L39" s="129">
        <v>1228.4000000000001</v>
      </c>
      <c r="M39" s="129">
        <v>1289.8</v>
      </c>
      <c r="N39" s="155" t="s">
        <v>59</v>
      </c>
      <c r="O39" s="155" t="s">
        <v>100</v>
      </c>
      <c r="P39" s="21"/>
    </row>
    <row r="40" spans="1:21" s="18" customFormat="1" ht="24" customHeight="1" x14ac:dyDescent="0.2">
      <c r="A40" s="185"/>
      <c r="B40" s="156"/>
      <c r="C40" s="15" t="s">
        <v>91</v>
      </c>
      <c r="D40" s="105" t="s">
        <v>145</v>
      </c>
      <c r="E40" s="35">
        <f t="shared" ref="E40:E43" si="3">F40+G40+H40+I40+K40+J40</f>
        <v>8152.0000000000009</v>
      </c>
      <c r="F40" s="26">
        <v>742.9</v>
      </c>
      <c r="G40" s="27">
        <v>742.9</v>
      </c>
      <c r="H40" s="45">
        <f>736.8+4455.8</f>
        <v>5192.6000000000004</v>
      </c>
      <c r="I40" s="45">
        <v>736.8</v>
      </c>
      <c r="J40" s="45">
        <v>736.8</v>
      </c>
      <c r="K40" s="45">
        <v>0</v>
      </c>
      <c r="L40" s="45">
        <v>0</v>
      </c>
      <c r="M40" s="45">
        <v>0</v>
      </c>
      <c r="N40" s="156"/>
      <c r="O40" s="156"/>
      <c r="P40" s="47"/>
    </row>
    <row r="41" spans="1:21" s="18" customFormat="1" ht="50.25" customHeight="1" x14ac:dyDescent="0.2">
      <c r="A41" s="186"/>
      <c r="B41" s="157"/>
      <c r="C41" s="15" t="s">
        <v>94</v>
      </c>
      <c r="D41" s="105" t="s">
        <v>103</v>
      </c>
      <c r="E41" s="35">
        <f t="shared" si="3"/>
        <v>48218.5</v>
      </c>
      <c r="F41" s="26">
        <v>12263.4</v>
      </c>
      <c r="G41" s="27">
        <f>15000-44.9</f>
        <v>14955.1</v>
      </c>
      <c r="H41" s="45">
        <v>21000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157"/>
      <c r="O41" s="157"/>
      <c r="P41" s="47"/>
    </row>
    <row r="42" spans="1:21" s="18" customFormat="1" ht="74.25" customHeight="1" x14ac:dyDescent="0.2">
      <c r="A42" s="15" t="s">
        <v>27</v>
      </c>
      <c r="B42" s="48" t="s">
        <v>67</v>
      </c>
      <c r="C42" s="15" t="s">
        <v>24</v>
      </c>
      <c r="D42" s="24" t="s">
        <v>147</v>
      </c>
      <c r="E42" s="35">
        <f>F42+G42+H42+I42+K42+J42+L42+M42</f>
        <v>24867.3</v>
      </c>
      <c r="F42" s="49">
        <v>2500</v>
      </c>
      <c r="G42" s="31">
        <v>3000</v>
      </c>
      <c r="H42" s="115">
        <v>3375.7</v>
      </c>
      <c r="I42" s="32">
        <v>2894.1</v>
      </c>
      <c r="J42" s="32">
        <v>3038.8</v>
      </c>
      <c r="K42" s="32">
        <v>3190.7</v>
      </c>
      <c r="L42" s="32">
        <v>3350.2</v>
      </c>
      <c r="M42" s="32">
        <v>3517.8</v>
      </c>
      <c r="N42" s="46" t="s">
        <v>59</v>
      </c>
      <c r="O42" s="104" t="s">
        <v>40</v>
      </c>
      <c r="P42" s="47"/>
    </row>
    <row r="43" spans="1:21" s="18" customFormat="1" ht="37.5" customHeight="1" x14ac:dyDescent="0.2">
      <c r="A43" s="33" t="s">
        <v>28</v>
      </c>
      <c r="B43" s="50" t="s">
        <v>86</v>
      </c>
      <c r="C43" s="15" t="s">
        <v>24</v>
      </c>
      <c r="D43" s="24" t="s">
        <v>103</v>
      </c>
      <c r="E43" s="35">
        <f t="shared" si="3"/>
        <v>31538.2</v>
      </c>
      <c r="F43" s="36">
        <v>11105</v>
      </c>
      <c r="G43" s="37">
        <f>13513.7+569.5</f>
        <v>14083.2</v>
      </c>
      <c r="H43" s="27">
        <v>6350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0" t="s">
        <v>59</v>
      </c>
      <c r="O43" s="44" t="s">
        <v>41</v>
      </c>
      <c r="P43" s="47"/>
      <c r="Q43" s="162"/>
      <c r="R43" s="162"/>
      <c r="S43" s="162"/>
      <c r="T43" s="162"/>
      <c r="U43" s="162"/>
    </row>
    <row r="44" spans="1:21" ht="34.5" customHeight="1" x14ac:dyDescent="0.2">
      <c r="A44" s="33" t="s">
        <v>87</v>
      </c>
      <c r="B44" s="50" t="s">
        <v>88</v>
      </c>
      <c r="C44" s="15" t="s">
        <v>24</v>
      </c>
      <c r="D44" s="24" t="s">
        <v>144</v>
      </c>
      <c r="E44" s="35">
        <f>SUM(F44:K44)</f>
        <v>695</v>
      </c>
      <c r="F44" s="36">
        <v>0</v>
      </c>
      <c r="G44" s="37">
        <v>200</v>
      </c>
      <c r="H44" s="37">
        <f>400+95</f>
        <v>495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0" t="s">
        <v>59</v>
      </c>
      <c r="O44" s="44" t="s">
        <v>41</v>
      </c>
      <c r="P44" s="21"/>
    </row>
    <row r="45" spans="1:21" ht="71.25" customHeight="1" x14ac:dyDescent="0.2">
      <c r="A45" s="138" t="s">
        <v>154</v>
      </c>
      <c r="B45" s="50" t="s">
        <v>156</v>
      </c>
      <c r="C45" s="15" t="s">
        <v>24</v>
      </c>
      <c r="D45" s="24" t="s">
        <v>155</v>
      </c>
      <c r="E45" s="113">
        <f>SUM(F45:M45)</f>
        <v>3500</v>
      </c>
      <c r="F45" s="36">
        <v>0</v>
      </c>
      <c r="G45" s="37">
        <v>0</v>
      </c>
      <c r="H45" s="37">
        <v>100</v>
      </c>
      <c r="I45" s="37">
        <v>3400</v>
      </c>
      <c r="J45" s="37">
        <v>0</v>
      </c>
      <c r="K45" s="37">
        <v>0</v>
      </c>
      <c r="L45" s="37">
        <v>0</v>
      </c>
      <c r="M45" s="37">
        <v>0</v>
      </c>
      <c r="N45" s="30" t="s">
        <v>59</v>
      </c>
      <c r="O45" s="30" t="s">
        <v>40</v>
      </c>
      <c r="P45" s="21"/>
    </row>
    <row r="46" spans="1:21" ht="16.5" customHeight="1" x14ac:dyDescent="0.2">
      <c r="A46" s="51"/>
      <c r="B46" s="52" t="s">
        <v>53</v>
      </c>
      <c r="C46" s="53"/>
      <c r="D46" s="54"/>
      <c r="E46" s="40">
        <f t="shared" ref="E46:M46" si="4">SUM(E37:E45)</f>
        <v>191210.90000000002</v>
      </c>
      <c r="F46" s="41">
        <f t="shared" si="4"/>
        <v>29492.1</v>
      </c>
      <c r="G46" s="41">
        <f t="shared" si="4"/>
        <v>44507.899999999994</v>
      </c>
      <c r="H46" s="41">
        <f t="shared" si="4"/>
        <v>62145.200000000004</v>
      </c>
      <c r="I46" s="41">
        <f t="shared" si="4"/>
        <v>27396.1</v>
      </c>
      <c r="J46" s="41">
        <f t="shared" si="4"/>
        <v>6984</v>
      </c>
      <c r="K46" s="41">
        <f t="shared" si="4"/>
        <v>6559.5999999999995</v>
      </c>
      <c r="L46" s="41">
        <f t="shared" si="4"/>
        <v>6890.7</v>
      </c>
      <c r="M46" s="41">
        <f t="shared" si="4"/>
        <v>7235.3</v>
      </c>
      <c r="N46" s="42"/>
      <c r="O46" s="123"/>
      <c r="P46" s="21"/>
    </row>
    <row r="47" spans="1:21" ht="27.75" customHeight="1" x14ac:dyDescent="0.2">
      <c r="A47" s="55"/>
      <c r="B47" s="52" t="s">
        <v>94</v>
      </c>
      <c r="C47" s="53"/>
      <c r="D47" s="54"/>
      <c r="E47" s="41">
        <f>SUM(F47:K47)</f>
        <v>48218.5</v>
      </c>
      <c r="F47" s="41">
        <v>12263.4</v>
      </c>
      <c r="G47" s="41">
        <f>G41</f>
        <v>14955.1</v>
      </c>
      <c r="H47" s="41">
        <f>H41</f>
        <v>21000</v>
      </c>
      <c r="I47" s="41">
        <f>I41</f>
        <v>0</v>
      </c>
      <c r="J47" s="41">
        <f>J41</f>
        <v>0</v>
      </c>
      <c r="K47" s="41">
        <f>K41</f>
        <v>0</v>
      </c>
      <c r="L47" s="41">
        <v>0</v>
      </c>
      <c r="M47" s="41">
        <v>0</v>
      </c>
      <c r="N47" s="42"/>
      <c r="O47" s="42"/>
      <c r="P47" s="21"/>
    </row>
    <row r="48" spans="1:21" ht="14.25" customHeight="1" x14ac:dyDescent="0.2">
      <c r="A48" s="55"/>
      <c r="B48" s="52" t="s">
        <v>91</v>
      </c>
      <c r="C48" s="53"/>
      <c r="D48" s="54"/>
      <c r="E48" s="41">
        <f>SUM(F48:K48)</f>
        <v>8152.0000000000009</v>
      </c>
      <c r="F48" s="41">
        <v>742.9</v>
      </c>
      <c r="G48" s="41">
        <f>G40</f>
        <v>742.9</v>
      </c>
      <c r="H48" s="41">
        <f>H40</f>
        <v>5192.6000000000004</v>
      </c>
      <c r="I48" s="41">
        <f t="shared" ref="I48:K48" si="5">I40</f>
        <v>736.8</v>
      </c>
      <c r="J48" s="41">
        <f t="shared" si="5"/>
        <v>736.8</v>
      </c>
      <c r="K48" s="41">
        <f t="shared" si="5"/>
        <v>0</v>
      </c>
      <c r="L48" s="130">
        <v>0</v>
      </c>
      <c r="M48" s="130">
        <v>0</v>
      </c>
      <c r="N48" s="56"/>
      <c r="O48" s="42"/>
      <c r="P48" s="21"/>
    </row>
    <row r="49" spans="1:20" ht="15" customHeight="1" x14ac:dyDescent="0.2">
      <c r="A49" s="38"/>
      <c r="B49" s="39" t="s">
        <v>29</v>
      </c>
      <c r="C49" s="38"/>
      <c r="D49" s="38"/>
      <c r="E49" s="41">
        <f>SUM(E46-E47-E48)</f>
        <v>134840.40000000002</v>
      </c>
      <c r="F49" s="41">
        <f>SUM(F46-F47-F48)</f>
        <v>16485.799999999996</v>
      </c>
      <c r="G49" s="41">
        <f>G46-G48-G47</f>
        <v>28809.899999999994</v>
      </c>
      <c r="H49" s="41">
        <f>H46-H48-H47</f>
        <v>35952.600000000006</v>
      </c>
      <c r="I49" s="41">
        <f t="shared" ref="I49:K49" si="6">I46-I48</f>
        <v>26659.3</v>
      </c>
      <c r="J49" s="41">
        <f t="shared" si="6"/>
        <v>6247.2</v>
      </c>
      <c r="K49" s="41">
        <f t="shared" si="6"/>
        <v>6559.5999999999995</v>
      </c>
      <c r="L49" s="41">
        <f>L46</f>
        <v>6890.7</v>
      </c>
      <c r="M49" s="41">
        <f>M46</f>
        <v>7235.3</v>
      </c>
      <c r="N49" s="42"/>
      <c r="O49" s="57"/>
      <c r="P49" s="21"/>
    </row>
    <row r="50" spans="1:20" ht="16.5" customHeight="1" x14ac:dyDescent="0.2">
      <c r="A50" s="163" t="s">
        <v>109</v>
      </c>
      <c r="B50" s="163"/>
      <c r="C50" s="163"/>
      <c r="D50" s="163"/>
      <c r="E50" s="164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21"/>
      <c r="T50" s="6"/>
    </row>
    <row r="51" spans="1:20" ht="82.5" customHeight="1" x14ac:dyDescent="0.2">
      <c r="A51" s="58" t="s">
        <v>9</v>
      </c>
      <c r="B51" s="34" t="s">
        <v>83</v>
      </c>
      <c r="C51" s="14" t="s">
        <v>24</v>
      </c>
      <c r="D51" s="105" t="s">
        <v>147</v>
      </c>
      <c r="E51" s="59">
        <f>F51+G51+H51+I51+K51+J51+L51+M51</f>
        <v>281230.5</v>
      </c>
      <c r="F51" s="60">
        <v>27939.599999999999</v>
      </c>
      <c r="G51" s="37">
        <v>31946.6</v>
      </c>
      <c r="H51" s="27">
        <f>30958.2+6976.3+3793</f>
        <v>41727.5</v>
      </c>
      <c r="I51" s="61">
        <v>32506.1</v>
      </c>
      <c r="J51" s="61">
        <v>34131.4</v>
      </c>
      <c r="K51" s="61">
        <v>35838</v>
      </c>
      <c r="L51" s="61">
        <v>37629.9</v>
      </c>
      <c r="M51" s="61">
        <v>39511.4</v>
      </c>
      <c r="N51" s="46" t="s">
        <v>59</v>
      </c>
      <c r="O51" s="34" t="s">
        <v>68</v>
      </c>
      <c r="P51" s="21"/>
    </row>
    <row r="52" spans="1:20" ht="34.5" customHeight="1" x14ac:dyDescent="0.2">
      <c r="A52" s="14" t="s">
        <v>10</v>
      </c>
      <c r="B52" s="34" t="s">
        <v>92</v>
      </c>
      <c r="C52" s="14" t="s">
        <v>24</v>
      </c>
      <c r="D52" s="105" t="s">
        <v>76</v>
      </c>
      <c r="E52" s="59">
        <f>F52+G52+H52+I52+K52+J52</f>
        <v>53</v>
      </c>
      <c r="F52" s="60">
        <v>53</v>
      </c>
      <c r="G52" s="37">
        <v>0</v>
      </c>
      <c r="H52" s="27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46" t="s">
        <v>59</v>
      </c>
      <c r="O52" s="34" t="s">
        <v>93</v>
      </c>
      <c r="P52" s="21"/>
    </row>
    <row r="53" spans="1:20" ht="35.25" customHeight="1" x14ac:dyDescent="0.2">
      <c r="A53" s="14" t="s">
        <v>11</v>
      </c>
      <c r="B53" s="34" t="s">
        <v>47</v>
      </c>
      <c r="C53" s="14" t="s">
        <v>24</v>
      </c>
      <c r="D53" s="105" t="s">
        <v>147</v>
      </c>
      <c r="E53" s="59">
        <f>F53+G53+H53+I53+K53+J53+L53+M53</f>
        <v>7653</v>
      </c>
      <c r="F53" s="60">
        <v>790.8</v>
      </c>
      <c r="G53" s="37">
        <v>830.3</v>
      </c>
      <c r="H53" s="27">
        <v>973.9</v>
      </c>
      <c r="I53" s="37">
        <v>915.4</v>
      </c>
      <c r="J53" s="37">
        <v>961.1</v>
      </c>
      <c r="K53" s="37">
        <v>1009.2</v>
      </c>
      <c r="L53" s="37">
        <v>1059.7</v>
      </c>
      <c r="M53" s="37">
        <v>1112.5999999999999</v>
      </c>
      <c r="N53" s="30" t="s">
        <v>59</v>
      </c>
      <c r="O53" s="34" t="s">
        <v>30</v>
      </c>
      <c r="P53" s="21"/>
    </row>
    <row r="54" spans="1:20" ht="15" customHeight="1" x14ac:dyDescent="0.2">
      <c r="A54" s="53"/>
      <c r="B54" s="52" t="s">
        <v>54</v>
      </c>
      <c r="C54" s="53"/>
      <c r="D54" s="54"/>
      <c r="E54" s="62">
        <f>SUM(E51:E53)</f>
        <v>288936.5</v>
      </c>
      <c r="F54" s="62">
        <f>F53+F52+F51</f>
        <v>28783.399999999998</v>
      </c>
      <c r="G54" s="62">
        <f>SUM(G51:G53)</f>
        <v>32776.9</v>
      </c>
      <c r="H54" s="62">
        <f>H53+H52+H51</f>
        <v>42701.4</v>
      </c>
      <c r="I54" s="62">
        <f>I53+I52+I51</f>
        <v>33421.5</v>
      </c>
      <c r="J54" s="62">
        <f>J53+J52+J51</f>
        <v>35092.5</v>
      </c>
      <c r="K54" s="62">
        <f>SUM(K51:K53)</f>
        <v>36847.199999999997</v>
      </c>
      <c r="L54" s="62">
        <f>SUM(L51:L53)</f>
        <v>38689.599999999999</v>
      </c>
      <c r="M54" s="62">
        <f>SUM(M51:M53)</f>
        <v>40624</v>
      </c>
      <c r="N54" s="63"/>
      <c r="O54" s="64"/>
      <c r="P54" s="21"/>
    </row>
    <row r="55" spans="1:20" ht="14.25" customHeight="1" x14ac:dyDescent="0.2">
      <c r="A55" s="38"/>
      <c r="B55" s="39" t="s">
        <v>29</v>
      </c>
      <c r="C55" s="38"/>
      <c r="D55" s="38"/>
      <c r="E55" s="65">
        <f>SUM(F55:M55)</f>
        <v>288936.5</v>
      </c>
      <c r="F55" s="65">
        <f t="shared" ref="F55:I55" si="7">F54</f>
        <v>28783.399999999998</v>
      </c>
      <c r="G55" s="65">
        <f t="shared" si="7"/>
        <v>32776.9</v>
      </c>
      <c r="H55" s="65">
        <f t="shared" si="7"/>
        <v>42701.4</v>
      </c>
      <c r="I55" s="65">
        <f t="shared" si="7"/>
        <v>33421.5</v>
      </c>
      <c r="J55" s="65">
        <f t="shared" ref="J55" si="8">J54</f>
        <v>35092.5</v>
      </c>
      <c r="K55" s="65">
        <f>K54</f>
        <v>36847.199999999997</v>
      </c>
      <c r="L55" s="65">
        <f>L54</f>
        <v>38689.599999999999</v>
      </c>
      <c r="M55" s="65">
        <f>M54</f>
        <v>40624</v>
      </c>
      <c r="N55" s="42"/>
      <c r="O55" s="66"/>
      <c r="P55" s="21"/>
    </row>
    <row r="56" spans="1:20" ht="16.5" customHeight="1" x14ac:dyDescent="0.2">
      <c r="A56" s="152" t="s">
        <v>110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4"/>
      <c r="P56" s="21"/>
    </row>
    <row r="57" spans="1:20" s="18" customFormat="1" ht="34.5" customHeight="1" x14ac:dyDescent="0.2">
      <c r="A57" s="14" t="s">
        <v>12</v>
      </c>
      <c r="B57" s="34" t="s">
        <v>45</v>
      </c>
      <c r="C57" s="14" t="s">
        <v>24</v>
      </c>
      <c r="D57" s="105" t="s">
        <v>147</v>
      </c>
      <c r="E57" s="59">
        <f>F57+G57+H57+I57+K57+J57+L57+M57</f>
        <v>65754.7</v>
      </c>
      <c r="F57" s="36">
        <v>7511.7</v>
      </c>
      <c r="G57" s="27">
        <f>6302.7+1600+96.4</f>
        <v>7999.0999999999995</v>
      </c>
      <c r="H57" s="27">
        <v>9832.2999999999993</v>
      </c>
      <c r="I57" s="61">
        <v>7313.5</v>
      </c>
      <c r="J57" s="61">
        <v>7679.1</v>
      </c>
      <c r="K57" s="61">
        <f>8063.1</f>
        <v>8063.1</v>
      </c>
      <c r="L57" s="61">
        <v>8466.2999999999993</v>
      </c>
      <c r="M57" s="61">
        <v>8889.6</v>
      </c>
      <c r="N57" s="46" t="s">
        <v>59</v>
      </c>
      <c r="O57" s="34" t="s">
        <v>31</v>
      </c>
      <c r="P57" s="47"/>
    </row>
    <row r="58" spans="1:20" ht="63" customHeight="1" x14ac:dyDescent="0.2">
      <c r="A58" s="15" t="s">
        <v>13</v>
      </c>
      <c r="B58" s="48" t="s">
        <v>46</v>
      </c>
      <c r="C58" s="15" t="s">
        <v>24</v>
      </c>
      <c r="D58" s="105" t="s">
        <v>76</v>
      </c>
      <c r="E58" s="59">
        <f>F58+G58+H58+I58+K58+J58</f>
        <v>315</v>
      </c>
      <c r="F58" s="36">
        <v>315</v>
      </c>
      <c r="G58" s="37">
        <v>0</v>
      </c>
      <c r="H58" s="37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46" t="s">
        <v>59</v>
      </c>
      <c r="O58" s="48" t="s">
        <v>32</v>
      </c>
      <c r="P58" s="21"/>
    </row>
    <row r="59" spans="1:20" ht="39" customHeight="1" x14ac:dyDescent="0.2">
      <c r="A59" s="14" t="s">
        <v>22</v>
      </c>
      <c r="B59" s="34" t="s">
        <v>50</v>
      </c>
      <c r="C59" s="14" t="s">
        <v>24</v>
      </c>
      <c r="D59" s="105" t="s">
        <v>147</v>
      </c>
      <c r="E59" s="59">
        <f>F59+G59+H59+I59+K59+J59+L59+M59</f>
        <v>10252.1</v>
      </c>
      <c r="F59" s="36">
        <v>1090</v>
      </c>
      <c r="G59" s="37">
        <v>1144.5</v>
      </c>
      <c r="H59" s="27">
        <v>1045.5</v>
      </c>
      <c r="I59" s="37">
        <v>1261.8</v>
      </c>
      <c r="J59" s="37">
        <v>1324.9</v>
      </c>
      <c r="K59" s="37">
        <f>1391.1</f>
        <v>1391.1</v>
      </c>
      <c r="L59" s="37">
        <v>1460.6</v>
      </c>
      <c r="M59" s="37">
        <v>1533.7</v>
      </c>
      <c r="N59" s="30" t="s">
        <v>59</v>
      </c>
      <c r="O59" s="34" t="s">
        <v>70</v>
      </c>
      <c r="P59" s="21"/>
    </row>
    <row r="60" spans="1:20" ht="38.25" customHeight="1" x14ac:dyDescent="0.2">
      <c r="A60" s="67" t="s">
        <v>101</v>
      </c>
      <c r="B60" s="50" t="s">
        <v>102</v>
      </c>
      <c r="C60" s="14" t="s">
        <v>24</v>
      </c>
      <c r="D60" s="105" t="s">
        <v>144</v>
      </c>
      <c r="E60" s="59">
        <f>SUM(F60:K60)</f>
        <v>90</v>
      </c>
      <c r="F60" s="49">
        <v>0</v>
      </c>
      <c r="G60" s="31">
        <v>40</v>
      </c>
      <c r="H60" s="31">
        <v>50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0" t="s">
        <v>59</v>
      </c>
      <c r="O60" s="69" t="s">
        <v>105</v>
      </c>
      <c r="P60" s="21"/>
    </row>
    <row r="61" spans="1:20" ht="69" customHeight="1" x14ac:dyDescent="0.2">
      <c r="A61" s="118" t="s">
        <v>139</v>
      </c>
      <c r="B61" s="50" t="s">
        <v>140</v>
      </c>
      <c r="C61" s="14" t="s">
        <v>24</v>
      </c>
      <c r="D61" s="24" t="s">
        <v>138</v>
      </c>
      <c r="E61" s="68">
        <f>SUM(F61:K61)</f>
        <v>4856.1000000000004</v>
      </c>
      <c r="F61" s="49">
        <v>0</v>
      </c>
      <c r="G61" s="31">
        <v>0</v>
      </c>
      <c r="H61" s="31">
        <v>4856.1000000000004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0" t="s">
        <v>59</v>
      </c>
      <c r="O61" s="48" t="s">
        <v>32</v>
      </c>
      <c r="P61" s="21"/>
    </row>
    <row r="62" spans="1:20" ht="15" customHeight="1" x14ac:dyDescent="0.2">
      <c r="A62" s="51"/>
      <c r="B62" s="52" t="s">
        <v>55</v>
      </c>
      <c r="C62" s="53"/>
      <c r="D62" s="54"/>
      <c r="E62" s="65">
        <f t="shared" ref="E62:K62" si="9">SUM(E57:E61)</f>
        <v>81267.900000000009</v>
      </c>
      <c r="F62" s="65">
        <f t="shared" si="9"/>
        <v>8916.7000000000007</v>
      </c>
      <c r="G62" s="65">
        <f t="shared" si="9"/>
        <v>9183.5999999999985</v>
      </c>
      <c r="H62" s="65">
        <f t="shared" si="9"/>
        <v>15783.9</v>
      </c>
      <c r="I62" s="65">
        <f t="shared" si="9"/>
        <v>8575.2999999999993</v>
      </c>
      <c r="J62" s="65">
        <f t="shared" si="9"/>
        <v>9004</v>
      </c>
      <c r="K62" s="65">
        <f t="shared" si="9"/>
        <v>9454.2000000000007</v>
      </c>
      <c r="L62" s="62">
        <f>SUM(L57:L61)</f>
        <v>9926.9</v>
      </c>
      <c r="M62" s="62">
        <f>SUM(M57:M61)</f>
        <v>10423.300000000001</v>
      </c>
      <c r="N62" s="63"/>
      <c r="O62" s="125"/>
      <c r="P62" s="21"/>
    </row>
    <row r="63" spans="1:20" ht="15" customHeight="1" x14ac:dyDescent="0.2">
      <c r="A63" s="38"/>
      <c r="B63" s="39" t="s">
        <v>29</v>
      </c>
      <c r="C63" s="38"/>
      <c r="D63" s="38"/>
      <c r="E63" s="65">
        <f>SUM(F63:M63)</f>
        <v>81267.899999999994</v>
      </c>
      <c r="F63" s="65">
        <f t="shared" ref="F63:I63" si="10">F62</f>
        <v>8916.7000000000007</v>
      </c>
      <c r="G63" s="65">
        <f t="shared" si="10"/>
        <v>9183.5999999999985</v>
      </c>
      <c r="H63" s="65">
        <f t="shared" si="10"/>
        <v>15783.9</v>
      </c>
      <c r="I63" s="65">
        <f t="shared" si="10"/>
        <v>8575.2999999999993</v>
      </c>
      <c r="J63" s="65">
        <f t="shared" ref="J63" si="11">J62</f>
        <v>9004</v>
      </c>
      <c r="K63" s="65">
        <f>K62</f>
        <v>9454.2000000000007</v>
      </c>
      <c r="L63" s="65">
        <f>L62</f>
        <v>9926.9</v>
      </c>
      <c r="M63" s="65">
        <f>M62</f>
        <v>10423.300000000001</v>
      </c>
      <c r="N63" s="42"/>
      <c r="O63" s="66"/>
      <c r="P63" s="21"/>
    </row>
    <row r="64" spans="1:20" ht="16.5" customHeight="1" x14ac:dyDescent="0.2">
      <c r="A64" s="158" t="s">
        <v>111</v>
      </c>
      <c r="B64" s="159"/>
      <c r="C64" s="159"/>
      <c r="D64" s="159"/>
      <c r="E64" s="160"/>
      <c r="F64" s="159"/>
      <c r="G64" s="159"/>
      <c r="H64" s="159"/>
      <c r="I64" s="159"/>
      <c r="J64" s="159"/>
      <c r="K64" s="159"/>
      <c r="L64" s="159"/>
      <c r="M64" s="159"/>
      <c r="N64" s="159"/>
      <c r="O64" s="161"/>
      <c r="P64" s="21"/>
      <c r="Q64" s="141"/>
      <c r="R64" s="142"/>
      <c r="S64" s="142"/>
      <c r="T64" s="142"/>
    </row>
    <row r="65" spans="1:20" ht="45" customHeight="1" x14ac:dyDescent="0.2">
      <c r="A65" s="14" t="s">
        <v>14</v>
      </c>
      <c r="B65" s="34" t="s">
        <v>69</v>
      </c>
      <c r="C65" s="70" t="s">
        <v>24</v>
      </c>
      <c r="D65" s="105" t="s">
        <v>147</v>
      </c>
      <c r="E65" s="59">
        <f>SUM(F65:M65)</f>
        <v>101545.59999999999</v>
      </c>
      <c r="F65" s="36">
        <v>10695.4</v>
      </c>
      <c r="G65" s="37">
        <f>11593.2+5+495</f>
        <v>12093.2</v>
      </c>
      <c r="H65" s="27">
        <f>11262.3+2151.9</f>
        <v>13414.199999999999</v>
      </c>
      <c r="I65" s="61">
        <v>11825.4</v>
      </c>
      <c r="J65" s="61">
        <v>12416.7</v>
      </c>
      <c r="K65" s="61">
        <f>13037.5</f>
        <v>13037.5</v>
      </c>
      <c r="L65" s="61">
        <v>13689.4</v>
      </c>
      <c r="M65" s="61">
        <v>14373.8</v>
      </c>
      <c r="N65" s="46" t="s">
        <v>59</v>
      </c>
      <c r="O65" s="34" t="s">
        <v>33</v>
      </c>
      <c r="P65" s="21"/>
    </row>
    <row r="66" spans="1:20" ht="46.5" customHeight="1" x14ac:dyDescent="0.2">
      <c r="A66" s="14" t="s">
        <v>15</v>
      </c>
      <c r="B66" s="34" t="s">
        <v>71</v>
      </c>
      <c r="C66" s="14" t="s">
        <v>24</v>
      </c>
      <c r="D66" s="105" t="s">
        <v>76</v>
      </c>
      <c r="E66" s="59">
        <f>F66+G66+H66+I66+K66+J66</f>
        <v>500</v>
      </c>
      <c r="F66" s="36">
        <v>500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61">
        <v>0</v>
      </c>
      <c r="M66" s="61">
        <v>0</v>
      </c>
      <c r="N66" s="46" t="s">
        <v>59</v>
      </c>
      <c r="O66" s="44" t="s">
        <v>38</v>
      </c>
      <c r="P66" s="21"/>
    </row>
    <row r="67" spans="1:20" ht="33" customHeight="1" x14ac:dyDescent="0.2">
      <c r="A67" s="14" t="s">
        <v>16</v>
      </c>
      <c r="B67" s="34" t="s">
        <v>34</v>
      </c>
      <c r="C67" s="14" t="s">
        <v>24</v>
      </c>
      <c r="D67" s="105" t="s">
        <v>147</v>
      </c>
      <c r="E67" s="59">
        <f>F67+G67+H67+I67+K67+J67+L67+M67</f>
        <v>145.6</v>
      </c>
      <c r="F67" s="36">
        <v>5</v>
      </c>
      <c r="G67" s="37">
        <f>17.9-5</f>
        <v>12.899999999999999</v>
      </c>
      <c r="H67" s="37">
        <v>18.8</v>
      </c>
      <c r="I67" s="61">
        <v>19.8</v>
      </c>
      <c r="J67" s="61">
        <v>20.7</v>
      </c>
      <c r="K67" s="61">
        <f>21.7</f>
        <v>21.7</v>
      </c>
      <c r="L67" s="61">
        <v>22.8</v>
      </c>
      <c r="M67" s="61">
        <v>23.9</v>
      </c>
      <c r="N67" s="46" t="s">
        <v>59</v>
      </c>
      <c r="O67" s="34" t="s">
        <v>35</v>
      </c>
      <c r="P67" s="21"/>
    </row>
    <row r="68" spans="1:20" s="19" customFormat="1" ht="84.75" customHeight="1" x14ac:dyDescent="0.2">
      <c r="A68" s="14" t="s">
        <v>95</v>
      </c>
      <c r="B68" s="34" t="s">
        <v>97</v>
      </c>
      <c r="C68" s="14" t="s">
        <v>24</v>
      </c>
      <c r="D68" s="105" t="s">
        <v>143</v>
      </c>
      <c r="E68" s="59">
        <f>F68+G68+H68+I68+K68+J68</f>
        <v>77</v>
      </c>
      <c r="F68" s="36">
        <v>12</v>
      </c>
      <c r="G68" s="37">
        <v>30</v>
      </c>
      <c r="H68" s="37">
        <v>35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46" t="s">
        <v>59</v>
      </c>
      <c r="O68" s="34" t="s">
        <v>96</v>
      </c>
      <c r="P68" s="20"/>
    </row>
    <row r="69" spans="1:20" s="19" customFormat="1" ht="19.5" customHeight="1" x14ac:dyDescent="0.2">
      <c r="A69" s="71"/>
      <c r="B69" s="72" t="s">
        <v>56</v>
      </c>
      <c r="C69" s="73"/>
      <c r="D69" s="74"/>
      <c r="E69" s="75">
        <f>SUM(E65:E68)</f>
        <v>102268.2</v>
      </c>
      <c r="F69" s="65">
        <f t="shared" ref="F69:I69" si="12">SUM(F65:F68)</f>
        <v>11212.4</v>
      </c>
      <c r="G69" s="65">
        <f>SUM(G65:G68)</f>
        <v>12136.1</v>
      </c>
      <c r="H69" s="65">
        <f t="shared" si="12"/>
        <v>13467.999999999998</v>
      </c>
      <c r="I69" s="65">
        <f t="shared" si="12"/>
        <v>11845.199999999999</v>
      </c>
      <c r="J69" s="65">
        <f t="shared" ref="J69" si="13">SUM(J65:J68)</f>
        <v>12437.400000000001</v>
      </c>
      <c r="K69" s="65">
        <f>SUM(K65:K68)</f>
        <v>13059.2</v>
      </c>
      <c r="L69" s="62">
        <f>SUM(L65:L68)</f>
        <v>13712.199999999999</v>
      </c>
      <c r="M69" s="62">
        <f>SUM(M65:M68)</f>
        <v>14397.699999999999</v>
      </c>
      <c r="N69" s="52"/>
      <c r="O69" s="76"/>
      <c r="P69" s="20"/>
    </row>
    <row r="70" spans="1:20" ht="15.75" customHeight="1" x14ac:dyDescent="0.2">
      <c r="A70" s="74"/>
      <c r="B70" s="39" t="s">
        <v>29</v>
      </c>
      <c r="C70" s="74"/>
      <c r="D70" s="74"/>
      <c r="E70" s="65">
        <f>SUM(F70:M70)</f>
        <v>102268.2</v>
      </c>
      <c r="F70" s="65">
        <f t="shared" ref="F70:I70" si="14">F69</f>
        <v>11212.4</v>
      </c>
      <c r="G70" s="65">
        <f t="shared" si="14"/>
        <v>12136.1</v>
      </c>
      <c r="H70" s="65">
        <f t="shared" si="14"/>
        <v>13467.999999999998</v>
      </c>
      <c r="I70" s="65">
        <f t="shared" si="14"/>
        <v>11845.199999999999</v>
      </c>
      <c r="J70" s="65">
        <f t="shared" ref="J70" si="15">J69</f>
        <v>12437.400000000001</v>
      </c>
      <c r="K70" s="65">
        <f>K69</f>
        <v>13059.2</v>
      </c>
      <c r="L70" s="65">
        <f>L69</f>
        <v>13712.199999999999</v>
      </c>
      <c r="M70" s="65">
        <f>M69</f>
        <v>14397.699999999999</v>
      </c>
      <c r="N70" s="39"/>
      <c r="O70" s="77"/>
      <c r="P70" s="21"/>
    </row>
    <row r="71" spans="1:20" ht="16.5" customHeight="1" x14ac:dyDescent="0.2">
      <c r="A71" s="163" t="s">
        <v>112</v>
      </c>
      <c r="B71" s="163"/>
      <c r="C71" s="163"/>
      <c r="D71" s="163"/>
      <c r="E71" s="164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21"/>
      <c r="T71" s="3" t="s">
        <v>49</v>
      </c>
    </row>
    <row r="72" spans="1:20" ht="51" customHeight="1" x14ac:dyDescent="0.2">
      <c r="A72" s="14" t="s">
        <v>17</v>
      </c>
      <c r="B72" s="34" t="s">
        <v>36</v>
      </c>
      <c r="C72" s="14" t="s">
        <v>24</v>
      </c>
      <c r="D72" s="105" t="s">
        <v>103</v>
      </c>
      <c r="E72" s="59">
        <f>F72+G72+H72+I72+K72+J72</f>
        <v>615.1</v>
      </c>
      <c r="F72" s="36">
        <v>335.6</v>
      </c>
      <c r="G72" s="27">
        <f>262.5+50-33</f>
        <v>279.5</v>
      </c>
      <c r="H72" s="27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46" t="s">
        <v>59</v>
      </c>
      <c r="O72" s="34" t="s">
        <v>84</v>
      </c>
      <c r="P72" s="21"/>
    </row>
    <row r="73" spans="1:20" ht="54" customHeight="1" x14ac:dyDescent="0.2">
      <c r="A73" s="14" t="s">
        <v>18</v>
      </c>
      <c r="B73" s="34" t="s">
        <v>37</v>
      </c>
      <c r="C73" s="14" t="s">
        <v>24</v>
      </c>
      <c r="D73" s="105" t="s">
        <v>103</v>
      </c>
      <c r="E73" s="59">
        <f>F73+G73+H73+I73+K73+J73</f>
        <v>2495.5</v>
      </c>
      <c r="F73" s="36">
        <f>2131-3</f>
        <v>2128</v>
      </c>
      <c r="G73" s="37">
        <v>367.5</v>
      </c>
      <c r="H73" s="27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30" t="s">
        <v>59</v>
      </c>
      <c r="O73" s="34" t="s">
        <v>84</v>
      </c>
      <c r="P73" s="21"/>
    </row>
    <row r="74" spans="1:20" s="19" customFormat="1" ht="49.5" customHeight="1" x14ac:dyDescent="0.2">
      <c r="A74" s="14" t="s">
        <v>19</v>
      </c>
      <c r="B74" s="78" t="s">
        <v>42</v>
      </c>
      <c r="C74" s="14" t="s">
        <v>24</v>
      </c>
      <c r="D74" s="105" t="s">
        <v>103</v>
      </c>
      <c r="E74" s="59">
        <f>F74+G74+H74+I74+K74+J74</f>
        <v>2828.4</v>
      </c>
      <c r="F74" s="49">
        <f>840+3</f>
        <v>843</v>
      </c>
      <c r="G74" s="31">
        <f>500+1285.4+200</f>
        <v>1985.4</v>
      </c>
      <c r="H74" s="115">
        <v>0</v>
      </c>
      <c r="I74" s="32">
        <v>0</v>
      </c>
      <c r="J74" s="32">
        <v>0</v>
      </c>
      <c r="K74" s="61">
        <v>0</v>
      </c>
      <c r="L74" s="61">
        <v>0</v>
      </c>
      <c r="M74" s="61">
        <v>0</v>
      </c>
      <c r="N74" s="46" t="s">
        <v>59</v>
      </c>
      <c r="O74" s="34" t="s">
        <v>84</v>
      </c>
      <c r="P74" s="20"/>
    </row>
    <row r="75" spans="1:20" s="19" customFormat="1" ht="49.5" customHeight="1" x14ac:dyDescent="0.2">
      <c r="A75" s="121" t="s">
        <v>141</v>
      </c>
      <c r="B75" s="119" t="s">
        <v>142</v>
      </c>
      <c r="C75" s="14" t="s">
        <v>24</v>
      </c>
      <c r="D75" s="24" t="s">
        <v>149</v>
      </c>
      <c r="E75" s="120">
        <f>SUM(F75:M75)</f>
        <v>7908.2</v>
      </c>
      <c r="F75" s="49">
        <v>0</v>
      </c>
      <c r="G75" s="31">
        <v>0</v>
      </c>
      <c r="H75" s="115">
        <v>1894.9</v>
      </c>
      <c r="I75" s="32">
        <v>1088.3</v>
      </c>
      <c r="J75" s="32">
        <v>1142.5999999999999</v>
      </c>
      <c r="K75" s="61">
        <v>1199.8</v>
      </c>
      <c r="L75" s="61">
        <v>1259.8</v>
      </c>
      <c r="M75" s="61">
        <v>1322.8</v>
      </c>
      <c r="N75" s="46" t="s">
        <v>59</v>
      </c>
      <c r="O75" s="34" t="s">
        <v>84</v>
      </c>
      <c r="P75" s="20"/>
    </row>
    <row r="76" spans="1:20" s="19" customFormat="1" ht="12" customHeight="1" x14ac:dyDescent="0.2">
      <c r="A76" s="71"/>
      <c r="B76" s="72" t="s">
        <v>57</v>
      </c>
      <c r="C76" s="73"/>
      <c r="D76" s="79"/>
      <c r="E76" s="75">
        <f t="shared" ref="E76:K76" si="16">SUM(E72:E75)</f>
        <v>13847.2</v>
      </c>
      <c r="F76" s="65">
        <f t="shared" si="16"/>
        <v>3306.6</v>
      </c>
      <c r="G76" s="65">
        <f t="shared" si="16"/>
        <v>2632.4</v>
      </c>
      <c r="H76" s="65">
        <f t="shared" si="16"/>
        <v>1894.9</v>
      </c>
      <c r="I76" s="65">
        <f t="shared" si="16"/>
        <v>1088.3</v>
      </c>
      <c r="J76" s="65">
        <f t="shared" si="16"/>
        <v>1142.5999999999999</v>
      </c>
      <c r="K76" s="65">
        <f t="shared" si="16"/>
        <v>1199.8</v>
      </c>
      <c r="L76" s="62">
        <f>SUM(L72:L75)</f>
        <v>1259.8</v>
      </c>
      <c r="M76" s="62">
        <f>SUM(M72:M75)</f>
        <v>1322.8</v>
      </c>
      <c r="N76" s="80"/>
      <c r="O76" s="76"/>
      <c r="P76" s="20"/>
    </row>
    <row r="77" spans="1:20" ht="15.75" customHeight="1" x14ac:dyDescent="0.2">
      <c r="A77" s="74"/>
      <c r="B77" s="39" t="s">
        <v>29</v>
      </c>
      <c r="C77" s="74"/>
      <c r="D77" s="81"/>
      <c r="E77" s="65">
        <f>SUM(F77:M77)</f>
        <v>13847.199999999997</v>
      </c>
      <c r="F77" s="65">
        <f t="shared" ref="F77:I77" si="17">F76</f>
        <v>3306.6</v>
      </c>
      <c r="G77" s="65">
        <f t="shared" si="17"/>
        <v>2632.4</v>
      </c>
      <c r="H77" s="65">
        <f t="shared" si="17"/>
        <v>1894.9</v>
      </c>
      <c r="I77" s="65">
        <f t="shared" si="17"/>
        <v>1088.3</v>
      </c>
      <c r="J77" s="65">
        <f t="shared" ref="J77" si="18">J76</f>
        <v>1142.5999999999999</v>
      </c>
      <c r="K77" s="65">
        <f>K76</f>
        <v>1199.8</v>
      </c>
      <c r="L77" s="65">
        <f>L76</f>
        <v>1259.8</v>
      </c>
      <c r="M77" s="65">
        <f>M76</f>
        <v>1322.8</v>
      </c>
      <c r="N77" s="82"/>
      <c r="O77" s="77"/>
      <c r="P77" s="21"/>
    </row>
    <row r="78" spans="1:20" ht="16.5" customHeight="1" x14ac:dyDescent="0.2">
      <c r="A78" s="148" t="s">
        <v>113</v>
      </c>
      <c r="B78" s="149"/>
      <c r="C78" s="149"/>
      <c r="D78" s="149"/>
      <c r="E78" s="150"/>
      <c r="F78" s="149"/>
      <c r="G78" s="149"/>
      <c r="H78" s="149"/>
      <c r="I78" s="149"/>
      <c r="J78" s="149"/>
      <c r="K78" s="149"/>
      <c r="L78" s="149"/>
      <c r="M78" s="149"/>
      <c r="N78" s="149"/>
      <c r="O78" s="151"/>
      <c r="P78" s="21"/>
    </row>
    <row r="79" spans="1:20" ht="104.25" customHeight="1" x14ac:dyDescent="0.2">
      <c r="A79" s="14" t="s">
        <v>44</v>
      </c>
      <c r="B79" s="30" t="s">
        <v>85</v>
      </c>
      <c r="C79" s="14" t="s">
        <v>29</v>
      </c>
      <c r="D79" s="105" t="s">
        <v>147</v>
      </c>
      <c r="E79" s="25">
        <f>F79+G79+H79+I79+K79+J79+L79+M79</f>
        <v>57598.6</v>
      </c>
      <c r="F79" s="83">
        <v>5970</v>
      </c>
      <c r="G79" s="45">
        <v>6368.5</v>
      </c>
      <c r="H79" s="45">
        <v>7072.3</v>
      </c>
      <c r="I79" s="84">
        <v>6911</v>
      </c>
      <c r="J79" s="84">
        <v>7256.6</v>
      </c>
      <c r="K79" s="84">
        <f>7619.4</f>
        <v>7619.4</v>
      </c>
      <c r="L79" s="84">
        <v>8000.4</v>
      </c>
      <c r="M79" s="84">
        <v>8400.4</v>
      </c>
      <c r="N79" s="46" t="s">
        <v>59</v>
      </c>
      <c r="O79" s="30" t="s">
        <v>39</v>
      </c>
      <c r="P79" s="21"/>
    </row>
    <row r="80" spans="1:20" ht="105" customHeight="1" x14ac:dyDescent="0.2">
      <c r="A80" s="14" t="s">
        <v>60</v>
      </c>
      <c r="B80" s="30" t="s">
        <v>61</v>
      </c>
      <c r="C80" s="14" t="s">
        <v>29</v>
      </c>
      <c r="D80" s="105" t="s">
        <v>147</v>
      </c>
      <c r="E80" s="25">
        <f>F80+G80+H80+I80+K80+J80+L80+M80</f>
        <v>114928.1</v>
      </c>
      <c r="F80" s="83">
        <v>12559.9</v>
      </c>
      <c r="G80" s="45">
        <f>13359.9</f>
        <v>13359.9</v>
      </c>
      <c r="H80" s="45">
        <v>12000</v>
      </c>
      <c r="I80" s="45">
        <v>13928.9</v>
      </c>
      <c r="J80" s="45">
        <v>14630.5</v>
      </c>
      <c r="K80" s="45">
        <v>15368.4</v>
      </c>
      <c r="L80" s="45">
        <v>16136.8</v>
      </c>
      <c r="M80" s="45">
        <v>16943.7</v>
      </c>
      <c r="N80" s="30" t="s">
        <v>59</v>
      </c>
      <c r="O80" s="30" t="s">
        <v>39</v>
      </c>
      <c r="P80" s="21"/>
    </row>
    <row r="81" spans="1:16" ht="12.75" customHeight="1" x14ac:dyDescent="0.2">
      <c r="A81" s="74"/>
      <c r="B81" s="77" t="s">
        <v>43</v>
      </c>
      <c r="C81" s="74"/>
      <c r="D81" s="81"/>
      <c r="E81" s="65">
        <f>E80+E79</f>
        <v>172526.7</v>
      </c>
      <c r="F81" s="65">
        <f t="shared" ref="F81:K81" si="19">SUM(F79:F80)</f>
        <v>18529.900000000001</v>
      </c>
      <c r="G81" s="65">
        <f t="shared" si="19"/>
        <v>19728.400000000001</v>
      </c>
      <c r="H81" s="65">
        <f t="shared" si="19"/>
        <v>19072.3</v>
      </c>
      <c r="I81" s="65">
        <f t="shared" si="19"/>
        <v>20839.900000000001</v>
      </c>
      <c r="J81" s="65">
        <f t="shared" si="19"/>
        <v>21887.1</v>
      </c>
      <c r="K81" s="65">
        <f t="shared" si="19"/>
        <v>22987.8</v>
      </c>
      <c r="L81" s="65">
        <f>SUM(L79:L80)</f>
        <v>24137.199999999997</v>
      </c>
      <c r="M81" s="65">
        <f>SUM(M79:M80)</f>
        <v>25344.1</v>
      </c>
      <c r="N81" s="39"/>
      <c r="O81" s="77"/>
      <c r="P81" s="21"/>
    </row>
    <row r="82" spans="1:16" ht="15.75" customHeight="1" x14ac:dyDescent="0.2">
      <c r="A82" s="74"/>
      <c r="B82" s="39" t="s">
        <v>29</v>
      </c>
      <c r="C82" s="74"/>
      <c r="D82" s="81"/>
      <c r="E82" s="62">
        <f>SUM(F82:M82)</f>
        <v>172526.7</v>
      </c>
      <c r="F82" s="65">
        <f t="shared" ref="F82:I82" si="20">F81</f>
        <v>18529.900000000001</v>
      </c>
      <c r="G82" s="65">
        <f t="shared" si="20"/>
        <v>19728.400000000001</v>
      </c>
      <c r="H82" s="65">
        <f t="shared" si="20"/>
        <v>19072.3</v>
      </c>
      <c r="I82" s="65">
        <f t="shared" si="20"/>
        <v>20839.900000000001</v>
      </c>
      <c r="J82" s="65">
        <f t="shared" ref="J82" si="21">J81</f>
        <v>21887.1</v>
      </c>
      <c r="K82" s="65">
        <f>K81</f>
        <v>22987.8</v>
      </c>
      <c r="L82" s="131">
        <f>L81</f>
        <v>24137.199999999997</v>
      </c>
      <c r="M82" s="131">
        <f>M81</f>
        <v>25344.1</v>
      </c>
      <c r="N82" s="85"/>
      <c r="O82" s="77"/>
      <c r="P82" s="21"/>
    </row>
    <row r="83" spans="1:16" ht="15.75" customHeight="1" x14ac:dyDescent="0.2">
      <c r="A83" s="193" t="s">
        <v>114</v>
      </c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94"/>
      <c r="P83" s="21"/>
    </row>
    <row r="84" spans="1:16" ht="39.75" customHeight="1" x14ac:dyDescent="0.2">
      <c r="A84" s="189" t="s">
        <v>115</v>
      </c>
      <c r="B84" s="169" t="s">
        <v>116</v>
      </c>
      <c r="C84" s="14" t="s">
        <v>29</v>
      </c>
      <c r="D84" s="105" t="s">
        <v>150</v>
      </c>
      <c r="E84" s="114">
        <f>SUM(F84:M84)</f>
        <v>2946.8</v>
      </c>
      <c r="F84" s="27">
        <v>0</v>
      </c>
      <c r="G84" s="27">
        <v>1000</v>
      </c>
      <c r="H84" s="27">
        <f>1000+600</f>
        <v>1600</v>
      </c>
      <c r="I84" s="27">
        <v>0</v>
      </c>
      <c r="J84" s="27">
        <v>0</v>
      </c>
      <c r="K84" s="27">
        <v>110</v>
      </c>
      <c r="L84" s="27">
        <v>115.5</v>
      </c>
      <c r="M84" s="27">
        <v>121.3</v>
      </c>
      <c r="N84" s="169" t="s">
        <v>59</v>
      </c>
      <c r="O84" s="169" t="s">
        <v>120</v>
      </c>
      <c r="P84" s="21"/>
    </row>
    <row r="85" spans="1:16" ht="31.5" customHeight="1" x14ac:dyDescent="0.2">
      <c r="A85" s="191"/>
      <c r="B85" s="192"/>
      <c r="C85" s="14" t="s">
        <v>125</v>
      </c>
      <c r="D85" s="105" t="s">
        <v>144</v>
      </c>
      <c r="E85" s="114">
        <f t="shared" ref="E85:E86" si="22">SUM(F85:K85)</f>
        <v>14055</v>
      </c>
      <c r="F85" s="27">
        <v>0</v>
      </c>
      <c r="G85" s="27">
        <v>3495</v>
      </c>
      <c r="H85" s="27">
        <v>10560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192"/>
      <c r="O85" s="192"/>
      <c r="P85" s="21"/>
    </row>
    <row r="86" spans="1:16" ht="28.5" customHeight="1" x14ac:dyDescent="0.2">
      <c r="A86" s="190"/>
      <c r="B86" s="170"/>
      <c r="C86" s="15" t="s">
        <v>91</v>
      </c>
      <c r="D86" s="105" t="s">
        <v>144</v>
      </c>
      <c r="E86" s="114">
        <f t="shared" si="22"/>
        <v>30945</v>
      </c>
      <c r="F86" s="27">
        <v>0</v>
      </c>
      <c r="G86" s="27">
        <v>11505</v>
      </c>
      <c r="H86" s="27">
        <v>19440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170"/>
      <c r="O86" s="170"/>
      <c r="P86" s="21"/>
    </row>
    <row r="87" spans="1:16" ht="46.5" customHeight="1" x14ac:dyDescent="0.2">
      <c r="A87" s="14" t="s">
        <v>121</v>
      </c>
      <c r="B87" s="30" t="s">
        <v>122</v>
      </c>
      <c r="C87" s="14" t="s">
        <v>29</v>
      </c>
      <c r="D87" s="105" t="s">
        <v>151</v>
      </c>
      <c r="E87" s="114">
        <f>SUM(F87:M87)</f>
        <v>220.7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70</v>
      </c>
      <c r="L87" s="27">
        <v>73.5</v>
      </c>
      <c r="M87" s="27">
        <v>77.2</v>
      </c>
      <c r="N87" s="30" t="s">
        <v>59</v>
      </c>
      <c r="O87" s="30" t="s">
        <v>120</v>
      </c>
      <c r="P87" s="21"/>
    </row>
    <row r="88" spans="1:16" ht="51" customHeight="1" x14ac:dyDescent="0.2">
      <c r="A88" s="14" t="s">
        <v>117</v>
      </c>
      <c r="B88" s="30" t="s">
        <v>118</v>
      </c>
      <c r="C88" s="14" t="s">
        <v>29</v>
      </c>
      <c r="D88" s="105" t="s">
        <v>152</v>
      </c>
      <c r="E88" s="114">
        <f>SUM(F88:M88)</f>
        <v>1221.2</v>
      </c>
      <c r="F88" s="27">
        <v>0</v>
      </c>
      <c r="G88" s="27">
        <f>87.5+100</f>
        <v>187.5</v>
      </c>
      <c r="H88" s="27">
        <v>750</v>
      </c>
      <c r="I88" s="27">
        <v>0</v>
      </c>
      <c r="J88" s="27">
        <v>0</v>
      </c>
      <c r="K88" s="27">
        <v>90</v>
      </c>
      <c r="L88" s="27">
        <v>94.5</v>
      </c>
      <c r="M88" s="27">
        <v>99.2</v>
      </c>
      <c r="N88" s="30" t="s">
        <v>59</v>
      </c>
      <c r="O88" s="30" t="s">
        <v>120</v>
      </c>
      <c r="P88" s="21"/>
    </row>
    <row r="89" spans="1:16" ht="51" customHeight="1" x14ac:dyDescent="0.2">
      <c r="A89" s="14" t="s">
        <v>129</v>
      </c>
      <c r="B89" s="30" t="s">
        <v>130</v>
      </c>
      <c r="C89" s="14" t="s">
        <v>29</v>
      </c>
      <c r="D89" s="105" t="s">
        <v>153</v>
      </c>
      <c r="E89" s="114">
        <f>SUM(F89:M89)</f>
        <v>548.30000000000007</v>
      </c>
      <c r="F89" s="27">
        <v>0</v>
      </c>
      <c r="G89" s="27">
        <v>0</v>
      </c>
      <c r="H89" s="27">
        <v>0</v>
      </c>
      <c r="I89" s="27">
        <v>99.2</v>
      </c>
      <c r="J89" s="27">
        <v>104.2</v>
      </c>
      <c r="K89" s="27">
        <v>109.4</v>
      </c>
      <c r="L89" s="27">
        <v>114.9</v>
      </c>
      <c r="M89" s="27">
        <v>120.6</v>
      </c>
      <c r="N89" s="30" t="s">
        <v>59</v>
      </c>
      <c r="O89" s="30" t="s">
        <v>120</v>
      </c>
      <c r="P89" s="21"/>
    </row>
    <row r="90" spans="1:16" ht="16.5" customHeight="1" x14ac:dyDescent="0.2">
      <c r="A90" s="106"/>
      <c r="B90" s="107" t="s">
        <v>119</v>
      </c>
      <c r="C90" s="106"/>
      <c r="D90" s="108"/>
      <c r="E90" s="109">
        <f t="shared" ref="E90:K90" si="23">SUM(E84:E89)</f>
        <v>49937</v>
      </c>
      <c r="F90" s="109">
        <f t="shared" si="23"/>
        <v>0</v>
      </c>
      <c r="G90" s="109">
        <f t="shared" si="23"/>
        <v>16187.5</v>
      </c>
      <c r="H90" s="109">
        <f t="shared" si="23"/>
        <v>32350</v>
      </c>
      <c r="I90" s="109">
        <f t="shared" si="23"/>
        <v>99.2</v>
      </c>
      <c r="J90" s="109">
        <f t="shared" si="23"/>
        <v>104.2</v>
      </c>
      <c r="K90" s="109">
        <f t="shared" si="23"/>
        <v>379.4</v>
      </c>
      <c r="L90" s="132">
        <f>SUM(L84:L89)</f>
        <v>398.4</v>
      </c>
      <c r="M90" s="132">
        <f>SUM(M84:M89)</f>
        <v>418.29999999999995</v>
      </c>
      <c r="N90" s="110"/>
      <c r="O90" s="111"/>
      <c r="P90" s="21"/>
    </row>
    <row r="91" spans="1:16" ht="16.5" customHeight="1" x14ac:dyDescent="0.2">
      <c r="A91" s="106"/>
      <c r="B91" s="107" t="s">
        <v>29</v>
      </c>
      <c r="C91" s="106"/>
      <c r="D91" s="108"/>
      <c r="E91" s="109">
        <f>E90-E92-E93</f>
        <v>4937</v>
      </c>
      <c r="F91" s="109">
        <f t="shared" ref="F91:I91" si="24">F90</f>
        <v>0</v>
      </c>
      <c r="G91" s="109">
        <f>G90-G92-G93</f>
        <v>1187.5</v>
      </c>
      <c r="H91" s="109">
        <f>H90-H92-H93</f>
        <v>2350</v>
      </c>
      <c r="I91" s="109">
        <f t="shared" si="24"/>
        <v>99.2</v>
      </c>
      <c r="J91" s="109">
        <f t="shared" ref="J91" si="25">J90</f>
        <v>104.2</v>
      </c>
      <c r="K91" s="109">
        <f>SUM(K90)</f>
        <v>379.4</v>
      </c>
      <c r="L91" s="132">
        <f>L90</f>
        <v>398.4</v>
      </c>
      <c r="M91" s="132">
        <f>M90</f>
        <v>418.29999999999995</v>
      </c>
      <c r="N91" s="110"/>
      <c r="O91" s="111"/>
    </row>
    <row r="92" spans="1:16" ht="16.5" customHeight="1" x14ac:dyDescent="0.2">
      <c r="A92" s="106"/>
      <c r="B92" s="107" t="s">
        <v>125</v>
      </c>
      <c r="C92" s="106"/>
      <c r="D92" s="108"/>
      <c r="E92" s="109">
        <f>SUM(F92:K92)</f>
        <v>14055</v>
      </c>
      <c r="F92" s="109">
        <f t="shared" ref="F92:K93" si="26">F85</f>
        <v>0</v>
      </c>
      <c r="G92" s="109">
        <f t="shared" si="26"/>
        <v>3495</v>
      </c>
      <c r="H92" s="109">
        <f t="shared" si="26"/>
        <v>10560</v>
      </c>
      <c r="I92" s="109">
        <f t="shared" si="26"/>
        <v>0</v>
      </c>
      <c r="J92" s="109">
        <f t="shared" si="26"/>
        <v>0</v>
      </c>
      <c r="K92" s="109">
        <f t="shared" si="26"/>
        <v>0</v>
      </c>
      <c r="L92" s="132">
        <v>0</v>
      </c>
      <c r="M92" s="132">
        <v>0</v>
      </c>
      <c r="N92" s="110"/>
      <c r="O92" s="111"/>
    </row>
    <row r="93" spans="1:16" ht="16.5" customHeight="1" x14ac:dyDescent="0.2">
      <c r="A93" s="106"/>
      <c r="B93" s="107" t="s">
        <v>91</v>
      </c>
      <c r="C93" s="106"/>
      <c r="D93" s="108"/>
      <c r="E93" s="109">
        <f>SUM(F93:K93)</f>
        <v>30945</v>
      </c>
      <c r="F93" s="109">
        <f t="shared" si="26"/>
        <v>0</v>
      </c>
      <c r="G93" s="109">
        <f t="shared" si="26"/>
        <v>11505</v>
      </c>
      <c r="H93" s="109">
        <f t="shared" si="26"/>
        <v>19440</v>
      </c>
      <c r="I93" s="109">
        <f t="shared" si="26"/>
        <v>0</v>
      </c>
      <c r="J93" s="109">
        <f t="shared" si="26"/>
        <v>0</v>
      </c>
      <c r="K93" s="109">
        <f t="shared" si="26"/>
        <v>0</v>
      </c>
      <c r="L93" s="132">
        <v>0</v>
      </c>
      <c r="M93" s="132">
        <v>0</v>
      </c>
      <c r="N93" s="110"/>
      <c r="O93" s="111"/>
    </row>
    <row r="94" spans="1:16" ht="20.25" customHeight="1" x14ac:dyDescent="0.2">
      <c r="A94" s="86"/>
      <c r="B94" s="87" t="s">
        <v>58</v>
      </c>
      <c r="C94" s="88"/>
      <c r="D94" s="89"/>
      <c r="E94" s="112">
        <f t="shared" ref="E94:J94" si="27">E90+E81+E76+E69+E62+E54+E46+E33</f>
        <v>1026969.7</v>
      </c>
      <c r="F94" s="112">
        <f t="shared" si="27"/>
        <v>127932.1</v>
      </c>
      <c r="G94" s="112">
        <f t="shared" si="27"/>
        <v>177579.69999999998</v>
      </c>
      <c r="H94" s="112">
        <f t="shared" si="27"/>
        <v>215978.80000000002</v>
      </c>
      <c r="I94" s="112">
        <f t="shared" si="27"/>
        <v>108755.6</v>
      </c>
      <c r="J94" s="112">
        <f t="shared" si="27"/>
        <v>92411.3</v>
      </c>
      <c r="K94" s="112">
        <f>SUM(K90,K81,K76,K69,K62,K54,K46,K33)</f>
        <v>96528.3</v>
      </c>
      <c r="L94" s="133">
        <f>L33+L46+L54+L62+L69+L76+L81+L90</f>
        <v>101358</v>
      </c>
      <c r="M94" s="133">
        <f>M33+M46+M54+M62+M69+M76+M81+M90</f>
        <v>106425.90000000001</v>
      </c>
      <c r="N94" s="91"/>
      <c r="O94" s="122"/>
    </row>
    <row r="95" spans="1:16" ht="21.75" customHeight="1" x14ac:dyDescent="0.2">
      <c r="A95" s="92"/>
      <c r="B95" s="93" t="s">
        <v>29</v>
      </c>
      <c r="C95" s="92"/>
      <c r="D95" s="94"/>
      <c r="E95" s="90">
        <f>SUM(E94-E96-E97-E98)</f>
        <v>919322.7</v>
      </c>
      <c r="F95" s="95">
        <f>SUM(F94-F97-F98)</f>
        <v>114925.80000000002</v>
      </c>
      <c r="G95" s="90">
        <f>G94-G98-G96-G97</f>
        <v>143691.69999999998</v>
      </c>
      <c r="H95" s="90">
        <f>H94-H98-H96-H97</f>
        <v>156699.70000000001</v>
      </c>
      <c r="I95" s="90">
        <f t="shared" ref="I95:K95" si="28">I94-I98</f>
        <v>108018.8</v>
      </c>
      <c r="J95" s="90">
        <f t="shared" si="28"/>
        <v>91674.5</v>
      </c>
      <c r="K95" s="90">
        <f t="shared" si="28"/>
        <v>96528.3</v>
      </c>
      <c r="L95" s="134">
        <f>L94</f>
        <v>101358</v>
      </c>
      <c r="M95" s="134">
        <f>M94</f>
        <v>106425.90000000001</v>
      </c>
      <c r="N95" s="24"/>
      <c r="O95" s="122"/>
    </row>
    <row r="96" spans="1:16" ht="21.75" customHeight="1" x14ac:dyDescent="0.2">
      <c r="A96" s="92"/>
      <c r="B96" s="93" t="s">
        <v>125</v>
      </c>
      <c r="C96" s="92"/>
      <c r="D96" s="94"/>
      <c r="E96" s="90">
        <f>SUM(F96:K96)</f>
        <v>14055</v>
      </c>
      <c r="F96" s="95">
        <f t="shared" ref="F96:K96" si="29">F92</f>
        <v>0</v>
      </c>
      <c r="G96" s="90">
        <f t="shared" si="29"/>
        <v>3495</v>
      </c>
      <c r="H96" s="90">
        <f t="shared" si="29"/>
        <v>10560</v>
      </c>
      <c r="I96" s="90">
        <f t="shared" si="29"/>
        <v>0</v>
      </c>
      <c r="J96" s="90">
        <f t="shared" si="29"/>
        <v>0</v>
      </c>
      <c r="K96" s="90">
        <f t="shared" si="29"/>
        <v>0</v>
      </c>
      <c r="L96" s="134">
        <v>0</v>
      </c>
      <c r="M96" s="134">
        <v>0</v>
      </c>
      <c r="N96" s="24"/>
      <c r="O96" s="122"/>
    </row>
    <row r="97" spans="1:15" ht="24.75" customHeight="1" x14ac:dyDescent="0.2">
      <c r="A97" s="86"/>
      <c r="B97" s="87" t="s">
        <v>94</v>
      </c>
      <c r="C97" s="86"/>
      <c r="D97" s="96"/>
      <c r="E97" s="25">
        <f>E47</f>
        <v>48218.5</v>
      </c>
      <c r="F97" s="97">
        <f>F47</f>
        <v>12263.4</v>
      </c>
      <c r="G97" s="25">
        <f>G47</f>
        <v>14955.1</v>
      </c>
      <c r="H97" s="25">
        <v>21000</v>
      </c>
      <c r="I97" s="25">
        <v>0</v>
      </c>
      <c r="J97" s="25">
        <v>0</v>
      </c>
      <c r="K97" s="25">
        <v>0</v>
      </c>
      <c r="L97" s="135">
        <v>0</v>
      </c>
      <c r="M97" s="135">
        <v>0</v>
      </c>
      <c r="N97" s="84"/>
      <c r="O97" s="122"/>
    </row>
    <row r="98" spans="1:15" ht="24.75" customHeight="1" x14ac:dyDescent="0.2">
      <c r="A98" s="98"/>
      <c r="B98" s="99" t="s">
        <v>91</v>
      </c>
      <c r="C98" s="98"/>
      <c r="D98" s="100"/>
      <c r="E98" s="101">
        <f>SUM(F98:K98)</f>
        <v>45373.5</v>
      </c>
      <c r="F98" s="102">
        <f t="shared" ref="F98:K98" si="30">F93+F48+F35</f>
        <v>742.9</v>
      </c>
      <c r="G98" s="102">
        <f t="shared" si="30"/>
        <v>15437.9</v>
      </c>
      <c r="H98" s="102">
        <f t="shared" si="30"/>
        <v>27719.1</v>
      </c>
      <c r="I98" s="102">
        <f t="shared" si="30"/>
        <v>736.8</v>
      </c>
      <c r="J98" s="102">
        <f t="shared" si="30"/>
        <v>736.8</v>
      </c>
      <c r="K98" s="102">
        <f t="shared" si="30"/>
        <v>0</v>
      </c>
      <c r="L98" s="102">
        <v>0</v>
      </c>
      <c r="M98" s="102">
        <v>0</v>
      </c>
      <c r="N98" s="103"/>
      <c r="O98" s="137"/>
    </row>
    <row r="99" spans="1:15" ht="21.75" customHeight="1" x14ac:dyDescent="0.2"/>
    <row r="100" spans="1:15" ht="21.75" customHeight="1" x14ac:dyDescent="0.2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</row>
    <row r="101" spans="1:15" ht="21.75" customHeight="1" x14ac:dyDescent="0.2"/>
    <row r="102" spans="1:15" ht="21.75" customHeight="1" x14ac:dyDescent="0.2"/>
    <row r="103" spans="1:15" ht="21.75" customHeight="1" x14ac:dyDescent="0.2"/>
    <row r="104" spans="1:15" ht="21.75" customHeight="1" x14ac:dyDescent="0.2"/>
    <row r="105" spans="1:15" ht="21.75" customHeight="1" x14ac:dyDescent="0.2"/>
    <row r="106" spans="1:15" ht="21.75" customHeight="1" x14ac:dyDescent="0.2"/>
    <row r="107" spans="1:15" ht="21.75" customHeight="1" x14ac:dyDescent="0.2"/>
    <row r="108" spans="1:15" ht="21.75" customHeight="1" x14ac:dyDescent="0.2"/>
    <row r="109" spans="1:15" ht="37.5" customHeight="1" x14ac:dyDescent="0.2"/>
    <row r="110" spans="1:15" ht="76.5" customHeight="1" x14ac:dyDescent="0.2"/>
    <row r="111" spans="1:15" ht="44.25" customHeight="1" x14ac:dyDescent="0.2"/>
    <row r="112" spans="1:15" s="19" customFormat="1" ht="21.75" customHeight="1" x14ac:dyDescent="0.2">
      <c r="A112" s="3"/>
      <c r="B112" s="3"/>
      <c r="C112" s="3"/>
      <c r="D112" s="3"/>
      <c r="E112" s="3"/>
      <c r="F112" s="3"/>
      <c r="G112" s="3"/>
      <c r="H112" s="18"/>
      <c r="I112" s="18"/>
      <c r="J112" s="18"/>
      <c r="K112" s="18"/>
      <c r="L112" s="18"/>
      <c r="M112" s="18"/>
      <c r="N112" s="3"/>
      <c r="O112" s="3"/>
    </row>
    <row r="113" ht="25.5" customHeight="1" x14ac:dyDescent="0.2"/>
    <row r="114" ht="33" customHeight="1" x14ac:dyDescent="0.2"/>
    <row r="115" ht="42.75" customHeight="1" x14ac:dyDescent="0.2"/>
    <row r="116" ht="13.5" customHeight="1" x14ac:dyDescent="0.2"/>
    <row r="117" ht="42.75" customHeight="1" x14ac:dyDescent="0.2"/>
    <row r="118" ht="20.100000000000001" customHeight="1" x14ac:dyDescent="0.2"/>
  </sheetData>
  <mergeCells count="53">
    <mergeCell ref="B84:B86"/>
    <mergeCell ref="O84:O86"/>
    <mergeCell ref="N84:N86"/>
    <mergeCell ref="A83:O83"/>
    <mergeCell ref="A30:A31"/>
    <mergeCell ref="B30:B31"/>
    <mergeCell ref="N30:N31"/>
    <mergeCell ref="O30:O31"/>
    <mergeCell ref="A100:O100"/>
    <mergeCell ref="A50:O50"/>
    <mergeCell ref="A36:O36"/>
    <mergeCell ref="O15:O16"/>
    <mergeCell ref="C15:C16"/>
    <mergeCell ref="A15:A16"/>
    <mergeCell ref="O39:O41"/>
    <mergeCell ref="A39:A41"/>
    <mergeCell ref="B39:B41"/>
    <mergeCell ref="A28:A29"/>
    <mergeCell ref="B28:B29"/>
    <mergeCell ref="A22:A23"/>
    <mergeCell ref="B22:B23"/>
    <mergeCell ref="N28:N29"/>
    <mergeCell ref="O28:O29"/>
    <mergeCell ref="A84:A86"/>
    <mergeCell ref="G1:O1"/>
    <mergeCell ref="G4:O4"/>
    <mergeCell ref="A14:O14"/>
    <mergeCell ref="N15:N16"/>
    <mergeCell ref="E15:E16"/>
    <mergeCell ref="D15:D16"/>
    <mergeCell ref="B15:B16"/>
    <mergeCell ref="F15:K15"/>
    <mergeCell ref="G2:O2"/>
    <mergeCell ref="A11:O11"/>
    <mergeCell ref="A12:O12"/>
    <mergeCell ref="A13:O13"/>
    <mergeCell ref="M5:O8"/>
    <mergeCell ref="Q64:T64"/>
    <mergeCell ref="Q26:U26"/>
    <mergeCell ref="Q36:U36"/>
    <mergeCell ref="G3:O3"/>
    <mergeCell ref="A78:O78"/>
    <mergeCell ref="A56:O56"/>
    <mergeCell ref="N39:N41"/>
    <mergeCell ref="A64:O64"/>
    <mergeCell ref="Q43:U43"/>
    <mergeCell ref="A71:O71"/>
    <mergeCell ref="Q19:T19"/>
    <mergeCell ref="Q20:T20"/>
    <mergeCell ref="Q24:U24"/>
    <mergeCell ref="A18:O18"/>
    <mergeCell ref="N22:N23"/>
    <mergeCell ref="O22:O23"/>
  </mergeCells>
  <phoneticPr fontId="0" type="noConversion"/>
  <pageMargins left="0.23622047244094491" right="0" top="0.59055118110236227" bottom="0.35433070866141736" header="0.74803149606299213" footer="0.51181102362204722"/>
  <pageSetup paperSize="9" scale="84" fitToHeight="0" orientation="landscape" r:id="rId1"/>
  <headerFooter alignWithMargins="0"/>
  <rowBreaks count="4" manualBreakCount="4">
    <brk id="26" max="14" man="1"/>
    <brk id="43" max="14" man="1"/>
    <brk id="60" max="14" man="1"/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Oleg Leshchev</cp:lastModifiedBy>
  <cp:lastPrinted>2019-06-04T07:50:18Z</cp:lastPrinted>
  <dcterms:created xsi:type="dcterms:W3CDTF">1996-10-08T23:32:33Z</dcterms:created>
  <dcterms:modified xsi:type="dcterms:W3CDTF">2019-09-11T13:17:53Z</dcterms:modified>
</cp:coreProperties>
</file>